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24226"/>
  <mc:AlternateContent xmlns:mc="http://schemas.openxmlformats.org/markup-compatibility/2006">
    <mc:Choice Requires="x15">
      <x15ac:absPath xmlns:x15ac="http://schemas.microsoft.com/office/spreadsheetml/2010/11/ac" url="L:\CODIV\GEEST\01 - Gestão da Dívida Pública - Informações e Estatísticas\Internet\Estoque\"/>
    </mc:Choice>
  </mc:AlternateContent>
  <xr:revisionPtr revIDLastSave="0" documentId="13_ncr:1_{43EB267B-471C-4A6D-87A6-78FC405B9222}" xr6:coauthVersionLast="45" xr6:coauthVersionMax="45" xr10:uidLastSave="{00000000-0000-0000-0000-000000000000}"/>
  <bookViews>
    <workbookView xWindow="-120" yWindow="-120" windowWidth="21840" windowHeight="13140" tabRatio="865" firstSheet="2" activeTab="20" xr2:uid="{00000000-000D-0000-FFFF-FFFF00000000}"/>
  </bookViews>
  <sheets>
    <sheet name="1995-2000" sheetId="8" r:id="rId1"/>
    <sheet name="2001" sheetId="6" r:id="rId2"/>
    <sheet name="2002" sheetId="10" r:id="rId3"/>
    <sheet name="2003" sheetId="11" r:id="rId4"/>
    <sheet name="2004" sheetId="12" r:id="rId5"/>
    <sheet name="2005" sheetId="13" r:id="rId6"/>
    <sheet name="2006" sheetId="14" r:id="rId7"/>
    <sheet name="2007" sheetId="15" r:id="rId8"/>
    <sheet name="2008" sheetId="16" r:id="rId9"/>
    <sheet name="2009" sheetId="17" r:id="rId10"/>
    <sheet name="2010" sheetId="18" r:id="rId11"/>
    <sheet name="2011" sheetId="19" r:id="rId12"/>
    <sheet name="2012" sheetId="20" r:id="rId13"/>
    <sheet name="2013" sheetId="21" r:id="rId14"/>
    <sheet name="2014" sheetId="24" r:id="rId15"/>
    <sheet name="2015" sheetId="25" r:id="rId16"/>
    <sheet name="2016" sheetId="26" r:id="rId17"/>
    <sheet name="2017" sheetId="27" r:id="rId18"/>
    <sheet name="2018" sheetId="28" r:id="rId19"/>
    <sheet name="2019" sheetId="29" r:id="rId20"/>
    <sheet name="2020" sheetId="30" r:id="rId21"/>
  </sheets>
  <definedNames>
    <definedName name="_xlnm.Print_Area" localSheetId="9">'2009'!$A$3:$I$30</definedName>
    <definedName name="_xlnm.Print_Area" localSheetId="10">'2010'!$A$3:$I$30</definedName>
    <definedName name="_xlnm.Print_Area" localSheetId="11">'2011'!$A$3:$I$30</definedName>
    <definedName name="_xlnm.Print_Area" localSheetId="12">'2012'!$A$3:$I$34</definedName>
    <definedName name="_xlnm.Print_Area" localSheetId="13">'2013'!$A$3:$I$33</definedName>
    <definedName name="_xlnm.Print_Area" localSheetId="14">'2014'!$A$3:$I$33</definedName>
    <definedName name="_xlnm.Print_Area" localSheetId="15">'2015'!$A$3:$I$33</definedName>
    <definedName name="_xlnm.Print_Area" localSheetId="16">'2016'!$A$3:$D$33</definedName>
    <definedName name="_xlnm.Print_Area" localSheetId="17">'2017'!$A$3:$B$33</definedName>
    <definedName name="_xlnm.Print_Area" localSheetId="18">'2018'!$A$3:$B$33</definedName>
    <definedName name="_xlnm.Print_Area" localSheetId="19">'2019'!$A$3:$B$33</definedName>
    <definedName name="_xlnm.Print_Area" localSheetId="20">'2020'!$A$3:$B$33</definedName>
    <definedName name="TABLE" localSheetId="1">'2001'!$B$35:$F$35</definedName>
    <definedName name="TABLE" localSheetId="2">'2002'!#REF!</definedName>
    <definedName name="_xlnm.Print_Titles" localSheetId="1">'2001'!$A:$A,'2001'!$1:$9</definedName>
    <definedName name="_xlnm.Print_Titles" localSheetId="2">'2002'!$A:$A,'2002'!$1:$8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9" i="24" l="1"/>
  <c r="H19" i="24"/>
  <c r="H25" i="24" s="1"/>
  <c r="B25" i="27" l="1"/>
  <c r="M17" i="26"/>
  <c r="M9" i="26" s="1"/>
  <c r="M19" i="26"/>
  <c r="L17" i="26"/>
  <c r="L9" i="26" s="1"/>
  <c r="L25" i="26" s="1"/>
  <c r="L19" i="26"/>
  <c r="K17" i="26"/>
  <c r="K9" i="26" s="1"/>
  <c r="K19" i="26"/>
  <c r="J17" i="26"/>
  <c r="J9" i="26" s="1"/>
  <c r="J25" i="26" s="1"/>
  <c r="J19" i="26"/>
  <c r="I17" i="26"/>
  <c r="I9" i="26" s="1"/>
  <c r="I25" i="26" s="1"/>
  <c r="I19" i="26"/>
  <c r="H17" i="26"/>
  <c r="H9" i="26" s="1"/>
  <c r="H19" i="26"/>
  <c r="G17" i="26"/>
  <c r="G9" i="26" s="1"/>
  <c r="G19" i="26"/>
  <c r="F17" i="26"/>
  <c r="F9" i="26" s="1"/>
  <c r="F25" i="26" s="1"/>
  <c r="F19" i="26"/>
  <c r="E17" i="26"/>
  <c r="E9" i="26" s="1"/>
  <c r="E25" i="26" s="1"/>
  <c r="E19" i="26"/>
  <c r="D17" i="26"/>
  <c r="D19" i="26"/>
  <c r="C17" i="26"/>
  <c r="C9" i="26" s="1"/>
  <c r="C25" i="26" s="1"/>
  <c r="C19" i="26"/>
  <c r="B17" i="26"/>
  <c r="B9" i="26" s="1"/>
  <c r="B19" i="26"/>
  <c r="M17" i="25"/>
  <c r="M9" i="25" s="1"/>
  <c r="M19" i="25"/>
  <c r="L17" i="25"/>
  <c r="L9" i="25"/>
  <c r="L19" i="25"/>
  <c r="K9" i="25"/>
  <c r="K19" i="25"/>
  <c r="J9" i="25"/>
  <c r="J19" i="25"/>
  <c r="I11" i="25"/>
  <c r="I9" i="25" s="1"/>
  <c r="I19" i="25"/>
  <c r="H11" i="25"/>
  <c r="H10" i="25"/>
  <c r="H19" i="25"/>
  <c r="G11" i="25"/>
  <c r="G9" i="25" s="1"/>
  <c r="G19" i="25"/>
  <c r="F11" i="25"/>
  <c r="F9" i="25" s="1"/>
  <c r="F25" i="25" s="1"/>
  <c r="F19" i="25"/>
  <c r="E11" i="25"/>
  <c r="E19" i="25"/>
  <c r="D11" i="25"/>
  <c r="D9" i="25" s="1"/>
  <c r="D19" i="25"/>
  <c r="C11" i="25"/>
  <c r="C9" i="25"/>
  <c r="C19" i="25"/>
  <c r="B11" i="25"/>
  <c r="B9" i="25" s="1"/>
  <c r="B19" i="25"/>
  <c r="M11" i="24"/>
  <c r="M19" i="24"/>
  <c r="L11" i="24"/>
  <c r="L10" i="24"/>
  <c r="L9" i="24" s="1"/>
  <c r="L19" i="24"/>
  <c r="K11" i="24"/>
  <c r="K9" i="24" s="1"/>
  <c r="K19" i="24"/>
  <c r="J11" i="24"/>
  <c r="J9" i="24" s="1"/>
  <c r="J19" i="24"/>
  <c r="I11" i="24"/>
  <c r="I9" i="24" s="1"/>
  <c r="I19" i="24"/>
  <c r="G11" i="24"/>
  <c r="G9" i="24" s="1"/>
  <c r="G19" i="24"/>
  <c r="F11" i="24"/>
  <c r="F9" i="24"/>
  <c r="F19" i="24"/>
  <c r="E11" i="24"/>
  <c r="E19" i="24"/>
  <c r="D11" i="24"/>
  <c r="D9" i="24" s="1"/>
  <c r="D19" i="24"/>
  <c r="C11" i="24"/>
  <c r="C9" i="24"/>
  <c r="C19" i="24"/>
  <c r="C25" i="24" s="1"/>
  <c r="B11" i="24"/>
  <c r="B9" i="24"/>
  <c r="B19" i="24"/>
  <c r="B25" i="24" s="1"/>
  <c r="M11" i="21"/>
  <c r="M9" i="21"/>
  <c r="M19" i="21"/>
  <c r="M25" i="21" s="1"/>
  <c r="L11" i="21"/>
  <c r="L9" i="21" s="1"/>
  <c r="K11" i="21"/>
  <c r="K9" i="21"/>
  <c r="K19" i="21"/>
  <c r="J11" i="21"/>
  <c r="J9" i="21"/>
  <c r="J19" i="21"/>
  <c r="I11" i="21"/>
  <c r="I19" i="21"/>
  <c r="H11" i="21"/>
  <c r="H9" i="21"/>
  <c r="H19" i="21"/>
  <c r="G11" i="21"/>
  <c r="G9" i="21"/>
  <c r="G19" i="21"/>
  <c r="G25" i="21" s="1"/>
  <c r="F11" i="21"/>
  <c r="F9" i="21" s="1"/>
  <c r="F19" i="21"/>
  <c r="E11" i="21"/>
  <c r="E9" i="21" s="1"/>
  <c r="E19" i="21"/>
  <c r="D11" i="21"/>
  <c r="D9" i="21" s="1"/>
  <c r="D25" i="21" s="1"/>
  <c r="D19" i="21"/>
  <c r="C11" i="21"/>
  <c r="C9" i="21" s="1"/>
  <c r="C19" i="21"/>
  <c r="B11" i="21"/>
  <c r="B9" i="21" s="1"/>
  <c r="B19" i="21"/>
  <c r="M11" i="20"/>
  <c r="M9" i="20" s="1"/>
  <c r="M26" i="20" s="1"/>
  <c r="M20" i="20"/>
  <c r="L11" i="20"/>
  <c r="L9" i="20" s="1"/>
  <c r="L20" i="20"/>
  <c r="K11" i="20"/>
  <c r="K9" i="20" s="1"/>
  <c r="K26" i="20" s="1"/>
  <c r="K20" i="20"/>
  <c r="J11" i="20"/>
  <c r="J9" i="20" s="1"/>
  <c r="J20" i="20"/>
  <c r="J26" i="20" s="1"/>
  <c r="I11" i="20"/>
  <c r="I9" i="20" s="1"/>
  <c r="I26" i="20" s="1"/>
  <c r="I20" i="20"/>
  <c r="H11" i="20"/>
  <c r="H9" i="20"/>
  <c r="H20" i="20"/>
  <c r="G11" i="20"/>
  <c r="G20" i="20"/>
  <c r="F11" i="20"/>
  <c r="F9" i="20" s="1"/>
  <c r="F26" i="20" s="1"/>
  <c r="F20" i="20"/>
  <c r="E11" i="20"/>
  <c r="E20" i="20"/>
  <c r="D11" i="20"/>
  <c r="D9" i="20" s="1"/>
  <c r="D26" i="20" s="1"/>
  <c r="D20" i="20"/>
  <c r="C11" i="20"/>
  <c r="C20" i="20"/>
  <c r="B11" i="20"/>
  <c r="B9" i="20" s="1"/>
  <c r="B26" i="20" s="1"/>
  <c r="B20" i="20"/>
  <c r="M9" i="19"/>
  <c r="M20" i="19"/>
  <c r="L9" i="19"/>
  <c r="L20" i="19"/>
  <c r="K9" i="19"/>
  <c r="K20" i="19"/>
  <c r="J9" i="19"/>
  <c r="J26" i="19" s="1"/>
  <c r="J20" i="19"/>
  <c r="I9" i="19"/>
  <c r="I20" i="19"/>
  <c r="H9" i="19"/>
  <c r="H20" i="19"/>
  <c r="G20" i="19"/>
  <c r="G9" i="19"/>
  <c r="G26" i="19" s="1"/>
  <c r="F20" i="19"/>
  <c r="F9" i="19"/>
  <c r="E9" i="19"/>
  <c r="E20" i="19"/>
  <c r="D9" i="19"/>
  <c r="D26" i="19" s="1"/>
  <c r="D20" i="19"/>
  <c r="C20" i="19"/>
  <c r="C26" i="19"/>
  <c r="C9" i="19"/>
  <c r="B20" i="19"/>
  <c r="B9" i="19"/>
  <c r="M9" i="18"/>
  <c r="M20" i="18"/>
  <c r="L9" i="18"/>
  <c r="L20" i="18"/>
  <c r="L26" i="18"/>
  <c r="K9" i="18"/>
  <c r="K26" i="18" s="1"/>
  <c r="K20" i="18"/>
  <c r="J9" i="18"/>
  <c r="J20" i="18"/>
  <c r="I9" i="18"/>
  <c r="I20" i="18"/>
  <c r="H20" i="18"/>
  <c r="H9" i="18"/>
  <c r="G9" i="18"/>
  <c r="G26" i="18" s="1"/>
  <c r="G20" i="18"/>
  <c r="F9" i="18"/>
  <c r="F20" i="18"/>
  <c r="E9" i="18"/>
  <c r="E20" i="18"/>
  <c r="D9" i="18"/>
  <c r="D20" i="18"/>
  <c r="D26" i="18" s="1"/>
  <c r="C9" i="18"/>
  <c r="C20" i="18"/>
  <c r="B9" i="18"/>
  <c r="B20" i="18"/>
  <c r="M9" i="17"/>
  <c r="M20" i="17"/>
  <c r="L9" i="17"/>
  <c r="L20" i="17"/>
  <c r="K9" i="17"/>
  <c r="K20" i="17"/>
  <c r="J9" i="17"/>
  <c r="J20" i="17"/>
  <c r="I9" i="17"/>
  <c r="I20" i="17"/>
  <c r="H9" i="17"/>
  <c r="H20" i="17"/>
  <c r="G9" i="17"/>
  <c r="G20" i="17"/>
  <c r="F9" i="17"/>
  <c r="F20" i="17"/>
  <c r="E9" i="17"/>
  <c r="E20" i="17"/>
  <c r="D9" i="17"/>
  <c r="D20" i="17"/>
  <c r="C9" i="17"/>
  <c r="C20" i="17"/>
  <c r="B20" i="17"/>
  <c r="B9" i="17"/>
  <c r="B26" i="17" s="1"/>
  <c r="M9" i="16"/>
  <c r="M20" i="16"/>
  <c r="L9" i="16"/>
  <c r="L20" i="16"/>
  <c r="L26" i="16" s="1"/>
  <c r="K9" i="16"/>
  <c r="K20" i="16"/>
  <c r="J9" i="16"/>
  <c r="J20" i="16"/>
  <c r="I20" i="16"/>
  <c r="H9" i="16"/>
  <c r="H20" i="16"/>
  <c r="G9" i="16"/>
  <c r="G26" i="16" s="1"/>
  <c r="G20" i="16"/>
  <c r="F9" i="16"/>
  <c r="F20" i="16"/>
  <c r="E9" i="16"/>
  <c r="E20" i="16"/>
  <c r="D9" i="16"/>
  <c r="D20" i="16"/>
  <c r="C9" i="16"/>
  <c r="C20" i="16"/>
  <c r="B9" i="16"/>
  <c r="B20" i="16"/>
  <c r="M18" i="15"/>
  <c r="M9" i="15" s="1"/>
  <c r="M20" i="15"/>
  <c r="L18" i="15"/>
  <c r="L9" i="15" s="1"/>
  <c r="L20" i="15"/>
  <c r="K18" i="15"/>
  <c r="K9" i="15" s="1"/>
  <c r="K20" i="15"/>
  <c r="J18" i="15"/>
  <c r="J9" i="15" s="1"/>
  <c r="J20" i="15"/>
  <c r="AA18" i="8"/>
  <c r="AB18" i="8"/>
  <c r="AC18" i="8"/>
  <c r="AD18" i="8"/>
  <c r="AE18" i="8"/>
  <c r="AF18" i="8"/>
  <c r="AG18" i="8"/>
  <c r="AH18" i="8"/>
  <c r="AH24" i="8" s="1"/>
  <c r="AI18" i="8"/>
  <c r="AJ18" i="8"/>
  <c r="AK18" i="8"/>
  <c r="AL18" i="8"/>
  <c r="AM18" i="8"/>
  <c r="AN18" i="8"/>
  <c r="AO18" i="8"/>
  <c r="AP18" i="8"/>
  <c r="AQ18" i="8"/>
  <c r="AR18" i="8"/>
  <c r="AS18" i="8"/>
  <c r="AT18" i="8"/>
  <c r="AT24" i="8" s="1"/>
  <c r="AU18" i="8"/>
  <c r="AV18" i="8"/>
  <c r="AW18" i="8"/>
  <c r="AX18" i="8"/>
  <c r="AY18" i="8"/>
  <c r="AZ18" i="8"/>
  <c r="BA18" i="8"/>
  <c r="BB18" i="8"/>
  <c r="BC18" i="8"/>
  <c r="BD18" i="8"/>
  <c r="BE18" i="8"/>
  <c r="BF18" i="8"/>
  <c r="BF24" i="8" s="1"/>
  <c r="BG18" i="8"/>
  <c r="BH18" i="8"/>
  <c r="BI18" i="8"/>
  <c r="BJ18" i="8"/>
  <c r="BK18" i="8"/>
  <c r="BL18" i="8"/>
  <c r="BM18" i="8"/>
  <c r="BN18" i="8"/>
  <c r="BO18" i="8"/>
  <c r="BP18" i="8"/>
  <c r="BQ18" i="8"/>
  <c r="BR18" i="8"/>
  <c r="BS18" i="8"/>
  <c r="BT18" i="8"/>
  <c r="BU18" i="8"/>
  <c r="Z18" i="8"/>
  <c r="Y9" i="8"/>
  <c r="Y24" i="8" s="1"/>
  <c r="P41" i="8"/>
  <c r="Q41" i="8"/>
  <c r="R41" i="8"/>
  <c r="S41" i="8"/>
  <c r="T41" i="8"/>
  <c r="U41" i="8"/>
  <c r="V41" i="8"/>
  <c r="W41" i="8"/>
  <c r="X41" i="8"/>
  <c r="Y41" i="8"/>
  <c r="Z41" i="8"/>
  <c r="AA41" i="8"/>
  <c r="AB41" i="8"/>
  <c r="AC41" i="8"/>
  <c r="AD41" i="8"/>
  <c r="AE41" i="8"/>
  <c r="AF41" i="8"/>
  <c r="AG41" i="8"/>
  <c r="AH41" i="8"/>
  <c r="AI41" i="8"/>
  <c r="AJ41" i="8"/>
  <c r="AK41" i="8"/>
  <c r="AL41" i="8"/>
  <c r="AM41" i="8"/>
  <c r="AN41" i="8"/>
  <c r="AO41" i="8"/>
  <c r="AP41" i="8"/>
  <c r="AQ41" i="8"/>
  <c r="AR41" i="8"/>
  <c r="AS41" i="8"/>
  <c r="AT41" i="8"/>
  <c r="AU41" i="8"/>
  <c r="AV41" i="8"/>
  <c r="AW41" i="8"/>
  <c r="AX41" i="8"/>
  <c r="AY41" i="8"/>
  <c r="AZ41" i="8"/>
  <c r="BA41" i="8"/>
  <c r="BB41" i="8"/>
  <c r="BC41" i="8"/>
  <c r="BD41" i="8"/>
  <c r="BE41" i="8"/>
  <c r="BF41" i="8"/>
  <c r="BG41" i="8"/>
  <c r="BH41" i="8"/>
  <c r="BI41" i="8"/>
  <c r="BJ41" i="8"/>
  <c r="BK41" i="8"/>
  <c r="BL41" i="8"/>
  <c r="BM41" i="8"/>
  <c r="BN41" i="8"/>
  <c r="BO41" i="8"/>
  <c r="BP41" i="8"/>
  <c r="BQ41" i="8"/>
  <c r="BR41" i="8"/>
  <c r="BS41" i="8"/>
  <c r="BT41" i="8"/>
  <c r="BU41" i="8"/>
  <c r="BV41" i="8"/>
  <c r="P42" i="8"/>
  <c r="Q42" i="8"/>
  <c r="R42" i="8"/>
  <c r="S42" i="8"/>
  <c r="T42" i="8"/>
  <c r="U42" i="8"/>
  <c r="V42" i="8"/>
  <c r="W42" i="8"/>
  <c r="X42" i="8"/>
  <c r="Y42" i="8"/>
  <c r="Z42" i="8"/>
  <c r="AA42" i="8"/>
  <c r="AB42" i="8"/>
  <c r="AC42" i="8"/>
  <c r="AD42" i="8"/>
  <c r="AE42" i="8"/>
  <c r="AF42" i="8"/>
  <c r="AG42" i="8"/>
  <c r="AH42" i="8"/>
  <c r="AI42" i="8"/>
  <c r="AJ42" i="8"/>
  <c r="AK42" i="8"/>
  <c r="AL42" i="8"/>
  <c r="AM42" i="8"/>
  <c r="AN42" i="8"/>
  <c r="AO42" i="8"/>
  <c r="AP42" i="8"/>
  <c r="AQ42" i="8"/>
  <c r="AR42" i="8"/>
  <c r="AS42" i="8"/>
  <c r="AT42" i="8"/>
  <c r="AU42" i="8"/>
  <c r="AV42" i="8"/>
  <c r="AW42" i="8"/>
  <c r="AX42" i="8"/>
  <c r="AY42" i="8"/>
  <c r="AZ42" i="8"/>
  <c r="BA42" i="8"/>
  <c r="BB42" i="8"/>
  <c r="BC42" i="8"/>
  <c r="BD42" i="8"/>
  <c r="BE42" i="8"/>
  <c r="BF42" i="8"/>
  <c r="BG42" i="8"/>
  <c r="BH42" i="8"/>
  <c r="BI42" i="8"/>
  <c r="BJ42" i="8"/>
  <c r="BK42" i="8"/>
  <c r="BL42" i="8"/>
  <c r="BM42" i="8"/>
  <c r="BN42" i="8"/>
  <c r="BO42" i="8"/>
  <c r="BP42" i="8"/>
  <c r="BQ42" i="8"/>
  <c r="BR42" i="8"/>
  <c r="BS42" i="8"/>
  <c r="BT42" i="8"/>
  <c r="BU42" i="8"/>
  <c r="BV42" i="8"/>
  <c r="P43" i="8"/>
  <c r="Q43" i="8"/>
  <c r="R43" i="8"/>
  <c r="S43" i="8"/>
  <c r="T43" i="8"/>
  <c r="U43" i="8"/>
  <c r="V43" i="8"/>
  <c r="W43" i="8"/>
  <c r="X43" i="8"/>
  <c r="Y43" i="8"/>
  <c r="Z43" i="8"/>
  <c r="AA43" i="8"/>
  <c r="AB43" i="8"/>
  <c r="AC43" i="8"/>
  <c r="AD43" i="8"/>
  <c r="AE43" i="8"/>
  <c r="AF43" i="8"/>
  <c r="AG43" i="8"/>
  <c r="AH43" i="8"/>
  <c r="AI43" i="8"/>
  <c r="AJ43" i="8"/>
  <c r="AK43" i="8"/>
  <c r="AL43" i="8"/>
  <c r="AM43" i="8"/>
  <c r="AN43" i="8"/>
  <c r="AO43" i="8"/>
  <c r="AP43" i="8"/>
  <c r="AQ43" i="8"/>
  <c r="AR43" i="8"/>
  <c r="AS43" i="8"/>
  <c r="AT43" i="8"/>
  <c r="AU43" i="8"/>
  <c r="AV43" i="8"/>
  <c r="AW43" i="8"/>
  <c r="AX43" i="8"/>
  <c r="AY43" i="8"/>
  <c r="AZ43" i="8"/>
  <c r="BA43" i="8"/>
  <c r="BB43" i="8"/>
  <c r="BC43" i="8"/>
  <c r="BD43" i="8"/>
  <c r="BE43" i="8"/>
  <c r="BF43" i="8"/>
  <c r="BG43" i="8"/>
  <c r="BH43" i="8"/>
  <c r="BI43" i="8"/>
  <c r="BJ43" i="8"/>
  <c r="BK43" i="8"/>
  <c r="BL43" i="8"/>
  <c r="BM43" i="8"/>
  <c r="BN43" i="8"/>
  <c r="BO43" i="8"/>
  <c r="BP43" i="8"/>
  <c r="BQ43" i="8"/>
  <c r="BR43" i="8"/>
  <c r="BS43" i="8"/>
  <c r="BT43" i="8"/>
  <c r="BU43" i="8"/>
  <c r="BV43" i="8"/>
  <c r="P44" i="8"/>
  <c r="Q44" i="8"/>
  <c r="R44" i="8"/>
  <c r="S44" i="8"/>
  <c r="T44" i="8"/>
  <c r="U44" i="8"/>
  <c r="V44" i="8"/>
  <c r="W44" i="8"/>
  <c r="X44" i="8"/>
  <c r="Y44" i="8"/>
  <c r="Z44" i="8"/>
  <c r="AA44" i="8"/>
  <c r="AB44" i="8"/>
  <c r="AC44" i="8"/>
  <c r="AD44" i="8"/>
  <c r="AE44" i="8"/>
  <c r="AF44" i="8"/>
  <c r="AG44" i="8"/>
  <c r="AH44" i="8"/>
  <c r="AI44" i="8"/>
  <c r="AJ44" i="8"/>
  <c r="AK44" i="8"/>
  <c r="AL44" i="8"/>
  <c r="AM44" i="8"/>
  <c r="AN44" i="8"/>
  <c r="AO44" i="8"/>
  <c r="AP44" i="8"/>
  <c r="AQ44" i="8"/>
  <c r="AR44" i="8"/>
  <c r="AS44" i="8"/>
  <c r="AT44" i="8"/>
  <c r="AU44" i="8"/>
  <c r="AV44" i="8"/>
  <c r="AW44" i="8"/>
  <c r="AX44" i="8"/>
  <c r="AY44" i="8"/>
  <c r="AZ44" i="8"/>
  <c r="BA44" i="8"/>
  <c r="BB44" i="8"/>
  <c r="BC44" i="8"/>
  <c r="BD44" i="8"/>
  <c r="BE44" i="8"/>
  <c r="BF44" i="8"/>
  <c r="BG44" i="8"/>
  <c r="BH44" i="8"/>
  <c r="BI44" i="8"/>
  <c r="BJ44" i="8"/>
  <c r="BK44" i="8"/>
  <c r="BL44" i="8"/>
  <c r="BM44" i="8"/>
  <c r="BN44" i="8"/>
  <c r="BO44" i="8"/>
  <c r="BP44" i="8"/>
  <c r="BQ44" i="8"/>
  <c r="BR44" i="8"/>
  <c r="BS44" i="8"/>
  <c r="BT44" i="8"/>
  <c r="BU44" i="8"/>
  <c r="BV44" i="8"/>
  <c r="P45" i="8"/>
  <c r="Q45" i="8"/>
  <c r="R45" i="8"/>
  <c r="S45" i="8"/>
  <c r="T45" i="8"/>
  <c r="U45" i="8"/>
  <c r="V45" i="8"/>
  <c r="W45" i="8"/>
  <c r="X45" i="8"/>
  <c r="Y45" i="8"/>
  <c r="Z45" i="8"/>
  <c r="AA45" i="8"/>
  <c r="AB45" i="8"/>
  <c r="AC45" i="8"/>
  <c r="AD45" i="8"/>
  <c r="AE45" i="8"/>
  <c r="AF45" i="8"/>
  <c r="AG45" i="8"/>
  <c r="AH45" i="8"/>
  <c r="AI45" i="8"/>
  <c r="AJ45" i="8"/>
  <c r="AK45" i="8"/>
  <c r="AL45" i="8"/>
  <c r="AM45" i="8"/>
  <c r="AN45" i="8"/>
  <c r="AO45" i="8"/>
  <c r="AP45" i="8"/>
  <c r="AQ45" i="8"/>
  <c r="AR45" i="8"/>
  <c r="AS45" i="8"/>
  <c r="AT45" i="8"/>
  <c r="AU45" i="8"/>
  <c r="AV45" i="8"/>
  <c r="AW45" i="8"/>
  <c r="AX45" i="8"/>
  <c r="AY45" i="8"/>
  <c r="AZ45" i="8"/>
  <c r="BA45" i="8"/>
  <c r="BB45" i="8"/>
  <c r="BC45" i="8"/>
  <c r="BD45" i="8"/>
  <c r="BE45" i="8"/>
  <c r="BF45" i="8"/>
  <c r="BG45" i="8"/>
  <c r="BH45" i="8"/>
  <c r="BI45" i="8"/>
  <c r="BJ45" i="8"/>
  <c r="BK45" i="8"/>
  <c r="BL45" i="8"/>
  <c r="BM45" i="8"/>
  <c r="BN45" i="8"/>
  <c r="BO45" i="8"/>
  <c r="BP45" i="8"/>
  <c r="BQ45" i="8"/>
  <c r="BR45" i="8"/>
  <c r="BS45" i="8"/>
  <c r="BT45" i="8"/>
  <c r="BU45" i="8"/>
  <c r="BV45" i="8"/>
  <c r="P46" i="8"/>
  <c r="Q46" i="8"/>
  <c r="R46" i="8"/>
  <c r="S46" i="8"/>
  <c r="T46" i="8"/>
  <c r="U46" i="8"/>
  <c r="V46" i="8"/>
  <c r="W46" i="8"/>
  <c r="X46" i="8"/>
  <c r="Y46" i="8"/>
  <c r="Z46" i="8"/>
  <c r="AA46" i="8"/>
  <c r="AB46" i="8"/>
  <c r="AC46" i="8"/>
  <c r="AD46" i="8"/>
  <c r="AE46" i="8"/>
  <c r="AF46" i="8"/>
  <c r="AG46" i="8"/>
  <c r="AH46" i="8"/>
  <c r="AI46" i="8"/>
  <c r="AJ46" i="8"/>
  <c r="AK46" i="8"/>
  <c r="AL46" i="8"/>
  <c r="AM46" i="8"/>
  <c r="AN46" i="8"/>
  <c r="AO46" i="8"/>
  <c r="AP46" i="8"/>
  <c r="AQ46" i="8"/>
  <c r="AR46" i="8"/>
  <c r="AS46" i="8"/>
  <c r="AT46" i="8"/>
  <c r="AU46" i="8"/>
  <c r="AV46" i="8"/>
  <c r="AW46" i="8"/>
  <c r="AX46" i="8"/>
  <c r="AY46" i="8"/>
  <c r="AZ46" i="8"/>
  <c r="BA46" i="8"/>
  <c r="BB46" i="8"/>
  <c r="BC46" i="8"/>
  <c r="BD46" i="8"/>
  <c r="BE46" i="8"/>
  <c r="BF46" i="8"/>
  <c r="BG46" i="8"/>
  <c r="BH46" i="8"/>
  <c r="BI46" i="8"/>
  <c r="BJ46" i="8"/>
  <c r="BK46" i="8"/>
  <c r="BL46" i="8"/>
  <c r="BM46" i="8"/>
  <c r="BN46" i="8"/>
  <c r="BO46" i="8"/>
  <c r="BP46" i="8"/>
  <c r="BQ46" i="8"/>
  <c r="BR46" i="8"/>
  <c r="BS46" i="8"/>
  <c r="BT46" i="8"/>
  <c r="BU46" i="8"/>
  <c r="BV46" i="8"/>
  <c r="P47" i="8"/>
  <c r="Q47" i="8"/>
  <c r="R47" i="8"/>
  <c r="S47" i="8"/>
  <c r="T47" i="8"/>
  <c r="U47" i="8"/>
  <c r="V47" i="8"/>
  <c r="W47" i="8"/>
  <c r="X47" i="8"/>
  <c r="Y47" i="8"/>
  <c r="Z47" i="8"/>
  <c r="AA47" i="8"/>
  <c r="AB47" i="8"/>
  <c r="AC47" i="8"/>
  <c r="AD47" i="8"/>
  <c r="AE47" i="8"/>
  <c r="AF47" i="8"/>
  <c r="AG47" i="8"/>
  <c r="AH47" i="8"/>
  <c r="AI47" i="8"/>
  <c r="AJ47" i="8"/>
  <c r="AK47" i="8"/>
  <c r="AL47" i="8"/>
  <c r="AM47" i="8"/>
  <c r="AN47" i="8"/>
  <c r="AO47" i="8"/>
  <c r="AP47" i="8"/>
  <c r="AQ47" i="8"/>
  <c r="AR47" i="8"/>
  <c r="AS47" i="8"/>
  <c r="AT47" i="8"/>
  <c r="AU47" i="8"/>
  <c r="AV47" i="8"/>
  <c r="AW47" i="8"/>
  <c r="AX47" i="8"/>
  <c r="AY47" i="8"/>
  <c r="AZ47" i="8"/>
  <c r="BA47" i="8"/>
  <c r="BB47" i="8"/>
  <c r="BC47" i="8"/>
  <c r="BD47" i="8"/>
  <c r="BE47" i="8"/>
  <c r="BF47" i="8"/>
  <c r="BG47" i="8"/>
  <c r="BH47" i="8"/>
  <c r="BI47" i="8"/>
  <c r="BJ47" i="8"/>
  <c r="BK47" i="8"/>
  <c r="BL47" i="8"/>
  <c r="BM47" i="8"/>
  <c r="BN47" i="8"/>
  <c r="BO47" i="8"/>
  <c r="BP47" i="8"/>
  <c r="BQ47" i="8"/>
  <c r="BR47" i="8"/>
  <c r="BS47" i="8"/>
  <c r="BT47" i="8"/>
  <c r="BU47" i="8"/>
  <c r="BV47" i="8"/>
  <c r="E41" i="8"/>
  <c r="F41" i="8"/>
  <c r="G41" i="8"/>
  <c r="H41" i="8"/>
  <c r="I41" i="8"/>
  <c r="J41" i="8"/>
  <c r="K41" i="8"/>
  <c r="L41" i="8"/>
  <c r="M41" i="8"/>
  <c r="N41" i="8"/>
  <c r="O41" i="8"/>
  <c r="E42" i="8"/>
  <c r="F42" i="8"/>
  <c r="G42" i="8"/>
  <c r="H42" i="8"/>
  <c r="I42" i="8"/>
  <c r="J42" i="8"/>
  <c r="K42" i="8"/>
  <c r="L42" i="8"/>
  <c r="M42" i="8"/>
  <c r="N42" i="8"/>
  <c r="O42" i="8"/>
  <c r="E43" i="8"/>
  <c r="F43" i="8"/>
  <c r="G43" i="8"/>
  <c r="H43" i="8"/>
  <c r="I43" i="8"/>
  <c r="J43" i="8"/>
  <c r="K43" i="8"/>
  <c r="L43" i="8"/>
  <c r="M43" i="8"/>
  <c r="N43" i="8"/>
  <c r="O43" i="8"/>
  <c r="E44" i="8"/>
  <c r="F44" i="8"/>
  <c r="G44" i="8"/>
  <c r="H44" i="8"/>
  <c r="I44" i="8"/>
  <c r="J44" i="8"/>
  <c r="K44" i="8"/>
  <c r="L44" i="8"/>
  <c r="M44" i="8"/>
  <c r="N44" i="8"/>
  <c r="O44" i="8"/>
  <c r="E45" i="8"/>
  <c r="F45" i="8"/>
  <c r="G45" i="8"/>
  <c r="H45" i="8"/>
  <c r="I45" i="8"/>
  <c r="J45" i="8"/>
  <c r="K45" i="8"/>
  <c r="L45" i="8"/>
  <c r="M45" i="8"/>
  <c r="N45" i="8"/>
  <c r="O45" i="8"/>
  <c r="E46" i="8"/>
  <c r="F46" i="8"/>
  <c r="G46" i="8"/>
  <c r="H46" i="8"/>
  <c r="I46" i="8"/>
  <c r="J46" i="8"/>
  <c r="K46" i="8"/>
  <c r="L46" i="8"/>
  <c r="M46" i="8"/>
  <c r="N46" i="8"/>
  <c r="O46" i="8"/>
  <c r="E47" i="8"/>
  <c r="F47" i="8"/>
  <c r="G47" i="8"/>
  <c r="H47" i="8"/>
  <c r="I47" i="8"/>
  <c r="J47" i="8"/>
  <c r="K47" i="8"/>
  <c r="L47" i="8"/>
  <c r="M47" i="8"/>
  <c r="N47" i="8"/>
  <c r="O47" i="8"/>
  <c r="C41" i="8"/>
  <c r="D41" i="8"/>
  <c r="C42" i="8"/>
  <c r="D42" i="8"/>
  <c r="C43" i="8"/>
  <c r="D43" i="8"/>
  <c r="C44" i="8"/>
  <c r="D44" i="8"/>
  <c r="C45" i="8"/>
  <c r="D45" i="8"/>
  <c r="C46" i="8"/>
  <c r="D46" i="8"/>
  <c r="C47" i="8"/>
  <c r="D47" i="8"/>
  <c r="B47" i="8"/>
  <c r="B46" i="8"/>
  <c r="B45" i="8"/>
  <c r="B44" i="8"/>
  <c r="B43" i="8"/>
  <c r="B42" i="8"/>
  <c r="B41" i="8"/>
  <c r="B9" i="8"/>
  <c r="B24" i="8"/>
  <c r="BU9" i="8"/>
  <c r="BU24" i="8" s="1"/>
  <c r="BT9" i="8"/>
  <c r="BS9" i="8"/>
  <c r="BS24" i="8" s="1"/>
  <c r="BR9" i="8"/>
  <c r="BR24" i="8" s="1"/>
  <c r="BQ9" i="8"/>
  <c r="BQ24" i="8" s="1"/>
  <c r="BP9" i="8"/>
  <c r="BP24" i="8"/>
  <c r="BO9" i="8"/>
  <c r="BO24" i="8" s="1"/>
  <c r="BN9" i="8"/>
  <c r="BM9" i="8"/>
  <c r="BL9" i="8"/>
  <c r="BL24" i="8" s="1"/>
  <c r="BK9" i="8"/>
  <c r="BK24" i="8"/>
  <c r="BJ9" i="8"/>
  <c r="BI9" i="8"/>
  <c r="BI24" i="8" s="1"/>
  <c r="BH9" i="8"/>
  <c r="BG9" i="8"/>
  <c r="BG24" i="8" s="1"/>
  <c r="BF9" i="8"/>
  <c r="BE9" i="8"/>
  <c r="BD9" i="8"/>
  <c r="BD24" i="8" s="1"/>
  <c r="BC9" i="8"/>
  <c r="BC24" i="8" s="1"/>
  <c r="BB9" i="8"/>
  <c r="BB24" i="8"/>
  <c r="BA9" i="8"/>
  <c r="AZ9" i="8"/>
  <c r="AY9" i="8"/>
  <c r="AY24" i="8" s="1"/>
  <c r="AX9" i="8"/>
  <c r="AX24" i="8" s="1"/>
  <c r="AW9" i="8"/>
  <c r="AW24" i="8" s="1"/>
  <c r="AV9" i="8"/>
  <c r="AU9" i="8"/>
  <c r="AU24" i="8" s="1"/>
  <c r="AT9" i="8"/>
  <c r="AS9" i="8"/>
  <c r="AR9" i="8"/>
  <c r="AQ9" i="8"/>
  <c r="AQ24" i="8"/>
  <c r="AP9" i="8"/>
  <c r="AO9" i="8"/>
  <c r="AN9" i="8"/>
  <c r="AN24" i="8" s="1"/>
  <c r="AM9" i="8"/>
  <c r="AM24" i="8" s="1"/>
  <c r="AL9" i="8"/>
  <c r="AK9" i="8"/>
  <c r="AJ9" i="8"/>
  <c r="AJ24" i="8"/>
  <c r="AI9" i="8"/>
  <c r="AI24" i="8"/>
  <c r="AH9" i="8"/>
  <c r="AG9" i="8"/>
  <c r="AF9" i="8"/>
  <c r="AF24" i="8" s="1"/>
  <c r="AE9" i="8"/>
  <c r="AE24" i="8" s="1"/>
  <c r="AD9" i="8"/>
  <c r="AC9" i="8"/>
  <c r="AB9" i="8"/>
  <c r="AA9" i="8"/>
  <c r="AA24" i="8" s="1"/>
  <c r="Z9" i="8"/>
  <c r="X9" i="8"/>
  <c r="X24" i="8" s="1"/>
  <c r="W9" i="8"/>
  <c r="W24" i="8" s="1"/>
  <c r="V9" i="8"/>
  <c r="V24" i="8" s="1"/>
  <c r="U9" i="8"/>
  <c r="U24" i="8" s="1"/>
  <c r="T9" i="8"/>
  <c r="T24" i="8" s="1"/>
  <c r="S9" i="8"/>
  <c r="S24" i="8" s="1"/>
  <c r="R9" i="8"/>
  <c r="R24" i="8" s="1"/>
  <c r="Q9" i="8"/>
  <c r="Q24" i="8" s="1"/>
  <c r="P9" i="8"/>
  <c r="P24" i="8" s="1"/>
  <c r="O9" i="8"/>
  <c r="O24" i="8" s="1"/>
  <c r="N9" i="8"/>
  <c r="N24" i="8" s="1"/>
  <c r="M9" i="8"/>
  <c r="M24" i="8" s="1"/>
  <c r="L9" i="8"/>
  <c r="L24" i="8" s="1"/>
  <c r="K9" i="8"/>
  <c r="K24" i="8" s="1"/>
  <c r="J9" i="8"/>
  <c r="J24" i="8" s="1"/>
  <c r="I9" i="8"/>
  <c r="I24" i="8" s="1"/>
  <c r="H9" i="8"/>
  <c r="H24" i="8" s="1"/>
  <c r="G9" i="8"/>
  <c r="G24" i="8" s="1"/>
  <c r="F9" i="8"/>
  <c r="F24" i="8" s="1"/>
  <c r="E9" i="8"/>
  <c r="E24" i="8" s="1"/>
  <c r="D9" i="8"/>
  <c r="D24" i="8" s="1"/>
  <c r="C9" i="8"/>
  <c r="C24" i="8" s="1"/>
  <c r="M10" i="6"/>
  <c r="M20" i="6"/>
  <c r="M21" i="6"/>
  <c r="M22" i="6"/>
  <c r="M23" i="6"/>
  <c r="L20" i="6"/>
  <c r="K20" i="6"/>
  <c r="L23" i="6"/>
  <c r="L22" i="6"/>
  <c r="L21" i="6"/>
  <c r="K23" i="6"/>
  <c r="K22" i="6"/>
  <c r="K21" i="6"/>
  <c r="L10" i="6"/>
  <c r="K10" i="6"/>
  <c r="H17" i="6"/>
  <c r="H10" i="6" s="1"/>
  <c r="I20" i="6"/>
  <c r="I23" i="6"/>
  <c r="I22" i="6"/>
  <c r="I21" i="6"/>
  <c r="H20" i="6"/>
  <c r="H23" i="6"/>
  <c r="H22" i="6"/>
  <c r="H21" i="6"/>
  <c r="J23" i="6"/>
  <c r="J22" i="6"/>
  <c r="J21" i="6"/>
  <c r="J20" i="6"/>
  <c r="J17" i="6"/>
  <c r="J10" i="6" s="1"/>
  <c r="I17" i="6"/>
  <c r="I10" i="6" s="1"/>
  <c r="G17" i="6"/>
  <c r="G10" i="6" s="1"/>
  <c r="G20" i="6"/>
  <c r="G21" i="6"/>
  <c r="G22" i="6"/>
  <c r="G23" i="6"/>
  <c r="F19" i="6"/>
  <c r="E19" i="6"/>
  <c r="C19" i="6"/>
  <c r="D19" i="6"/>
  <c r="B19" i="6"/>
  <c r="C10" i="6"/>
  <c r="C25" i="6" s="1"/>
  <c r="D10" i="6"/>
  <c r="E10" i="6"/>
  <c r="F10" i="6"/>
  <c r="F25" i="6" s="1"/>
  <c r="B10" i="6"/>
  <c r="B25" i="6" s="1"/>
  <c r="M18" i="10"/>
  <c r="L18" i="10"/>
  <c r="M9" i="10"/>
  <c r="M24" i="10" s="1"/>
  <c r="L16" i="10"/>
  <c r="L9" i="10" s="1"/>
  <c r="K24" i="10"/>
  <c r="J15" i="10"/>
  <c r="J14" i="10"/>
  <c r="J13" i="10"/>
  <c r="J12" i="10"/>
  <c r="J18" i="10"/>
  <c r="J24" i="10" s="1"/>
  <c r="I22" i="10"/>
  <c r="H22" i="10"/>
  <c r="I21" i="10"/>
  <c r="H21" i="10"/>
  <c r="I20" i="10"/>
  <c r="H20" i="10"/>
  <c r="I19" i="10"/>
  <c r="I18" i="10" s="1"/>
  <c r="H19" i="10"/>
  <c r="I16" i="10"/>
  <c r="I14" i="10"/>
  <c r="I13" i="10"/>
  <c r="I12" i="10"/>
  <c r="I11" i="10"/>
  <c r="I10" i="10"/>
  <c r="I9" i="10" s="1"/>
  <c r="I24" i="10" s="1"/>
  <c r="H16" i="10"/>
  <c r="I15" i="10"/>
  <c r="H15" i="10"/>
  <c r="H14" i="10"/>
  <c r="H13" i="10"/>
  <c r="H12" i="10"/>
  <c r="H11" i="10"/>
  <c r="H10" i="10"/>
  <c r="G19" i="10"/>
  <c r="G18" i="10" s="1"/>
  <c r="G20" i="10"/>
  <c r="G22" i="10"/>
  <c r="G21" i="10"/>
  <c r="G14" i="10"/>
  <c r="G15" i="10"/>
  <c r="G10" i="10"/>
  <c r="G11" i="10"/>
  <c r="G12" i="10"/>
  <c r="G13" i="10"/>
  <c r="F22" i="10"/>
  <c r="F21" i="10"/>
  <c r="F20" i="10"/>
  <c r="F19" i="10"/>
  <c r="F15" i="10"/>
  <c r="F14" i="10"/>
  <c r="F10" i="10"/>
  <c r="F11" i="10"/>
  <c r="F12" i="10"/>
  <c r="F13" i="10"/>
  <c r="E11" i="10"/>
  <c r="E19" i="10"/>
  <c r="E18" i="10" s="1"/>
  <c r="E14" i="10"/>
  <c r="E15" i="10"/>
  <c r="E13" i="10"/>
  <c r="E12" i="10"/>
  <c r="E10" i="10"/>
  <c r="D22" i="10"/>
  <c r="D21" i="10"/>
  <c r="D20" i="10"/>
  <c r="D19" i="10"/>
  <c r="D10" i="10"/>
  <c r="D11" i="10"/>
  <c r="D12" i="10"/>
  <c r="D13" i="10"/>
  <c r="D16" i="10" s="1"/>
  <c r="D15" i="10"/>
  <c r="D14" i="10"/>
  <c r="C22" i="10"/>
  <c r="C21" i="10"/>
  <c r="C20" i="10"/>
  <c r="C19" i="10"/>
  <c r="B16" i="10"/>
  <c r="C15" i="10"/>
  <c r="C14" i="10"/>
  <c r="C13" i="10"/>
  <c r="C12" i="10"/>
  <c r="C10" i="10"/>
  <c r="C11" i="10"/>
  <c r="B22" i="10"/>
  <c r="B21" i="10"/>
  <c r="B20" i="10"/>
  <c r="B19" i="10"/>
  <c r="B15" i="10"/>
  <c r="B14" i="10"/>
  <c r="B13" i="10"/>
  <c r="B12" i="10"/>
  <c r="B11" i="10"/>
  <c r="B10" i="10"/>
  <c r="M15" i="11"/>
  <c r="M14" i="11"/>
  <c r="M18" i="11"/>
  <c r="L10" i="11"/>
  <c r="L9" i="11" s="1"/>
  <c r="K10" i="11"/>
  <c r="K9" i="11" s="1"/>
  <c r="L18" i="11"/>
  <c r="K18" i="11"/>
  <c r="J9" i="11"/>
  <c r="J18" i="11"/>
  <c r="I9" i="11"/>
  <c r="I18" i="11"/>
  <c r="I24" i="11" s="1"/>
  <c r="H9" i="11"/>
  <c r="H24" i="11" s="1"/>
  <c r="H18" i="11"/>
  <c r="G9" i="11"/>
  <c r="G18" i="11"/>
  <c r="G24" i="11" s="1"/>
  <c r="F9" i="11"/>
  <c r="F18" i="11"/>
  <c r="F24" i="11" s="1"/>
  <c r="E9" i="11"/>
  <c r="E18" i="11"/>
  <c r="D9" i="11"/>
  <c r="D18" i="11"/>
  <c r="C9" i="11"/>
  <c r="C18" i="11"/>
  <c r="C24" i="11" s="1"/>
  <c r="B9" i="11"/>
  <c r="B24" i="11" s="1"/>
  <c r="B18" i="11"/>
  <c r="M9" i="12"/>
  <c r="M18" i="12"/>
  <c r="L14" i="12"/>
  <c r="L9" i="12" s="1"/>
  <c r="L24" i="12" s="1"/>
  <c r="L18" i="12"/>
  <c r="K9" i="12"/>
  <c r="K18" i="12"/>
  <c r="K24" i="12" s="1"/>
  <c r="J9" i="12"/>
  <c r="J18" i="12"/>
  <c r="I9" i="12"/>
  <c r="I18" i="12"/>
  <c r="H9" i="12"/>
  <c r="H18" i="12"/>
  <c r="G9" i="12"/>
  <c r="G18" i="12"/>
  <c r="G24" i="12" s="1"/>
  <c r="F9" i="12"/>
  <c r="F18" i="12"/>
  <c r="E14" i="12"/>
  <c r="E9" i="12" s="1"/>
  <c r="E18" i="12"/>
  <c r="D11" i="12"/>
  <c r="D10" i="12"/>
  <c r="D18" i="12"/>
  <c r="C9" i="12"/>
  <c r="C24" i="12" s="1"/>
  <c r="C18" i="12"/>
  <c r="B9" i="12"/>
  <c r="B18" i="12"/>
  <c r="B24" i="12" s="1"/>
  <c r="M16" i="13"/>
  <c r="M9" i="13" s="1"/>
  <c r="M26" i="13" s="1"/>
  <c r="M17" i="13"/>
  <c r="M20" i="13"/>
  <c r="L9" i="13"/>
  <c r="L20" i="13"/>
  <c r="L26" i="13" s="1"/>
  <c r="K9" i="13"/>
  <c r="K20" i="13"/>
  <c r="K26" i="13" s="1"/>
  <c r="J18" i="13"/>
  <c r="J10" i="13"/>
  <c r="I9" i="13"/>
  <c r="I20" i="13"/>
  <c r="J20" i="13"/>
  <c r="H9" i="13"/>
  <c r="H26" i="13" s="1"/>
  <c r="H20" i="13"/>
  <c r="G9" i="13"/>
  <c r="G26" i="13" s="1"/>
  <c r="G20" i="13"/>
  <c r="E16" i="13"/>
  <c r="E9" i="13" s="1"/>
  <c r="E26" i="13" s="1"/>
  <c r="E20" i="13"/>
  <c r="F9" i="13"/>
  <c r="F20" i="13"/>
  <c r="D9" i="13"/>
  <c r="D20" i="13"/>
  <c r="C16" i="13"/>
  <c r="C9" i="13" s="1"/>
  <c r="C20" i="13"/>
  <c r="B9" i="13"/>
  <c r="B26" i="13" s="1"/>
  <c r="B20" i="13"/>
  <c r="M18" i="14"/>
  <c r="M9" i="14"/>
  <c r="M20" i="14"/>
  <c r="M26" i="14" s="1"/>
  <c r="L18" i="14"/>
  <c r="L9" i="14"/>
  <c r="L20" i="14"/>
  <c r="L26" i="14" s="1"/>
  <c r="K18" i="14"/>
  <c r="K9" i="14" s="1"/>
  <c r="K20" i="14"/>
  <c r="J18" i="14"/>
  <c r="J9" i="14" s="1"/>
  <c r="J20" i="14"/>
  <c r="J26" i="14" s="1"/>
  <c r="I18" i="14"/>
  <c r="I9" i="14" s="1"/>
  <c r="I20" i="14"/>
  <c r="H18" i="14"/>
  <c r="H9" i="14" s="1"/>
  <c r="H20" i="14"/>
  <c r="G18" i="14"/>
  <c r="G9" i="14" s="1"/>
  <c r="G26" i="14" s="1"/>
  <c r="G20" i="14"/>
  <c r="F18" i="14"/>
  <c r="F9" i="14"/>
  <c r="F26" i="14" s="1"/>
  <c r="F20" i="14"/>
  <c r="E20" i="14"/>
  <c r="E18" i="14"/>
  <c r="E9" i="14"/>
  <c r="E26" i="14" s="1"/>
  <c r="D18" i="14"/>
  <c r="D9" i="14" s="1"/>
  <c r="D26" i="14" s="1"/>
  <c r="D20" i="14"/>
  <c r="C18" i="14"/>
  <c r="C9" i="14" s="1"/>
  <c r="C20" i="14"/>
  <c r="B18" i="14"/>
  <c r="B9" i="14" s="1"/>
  <c r="B26" i="14" s="1"/>
  <c r="B20" i="14"/>
  <c r="I18" i="15"/>
  <c r="I9" i="15" s="1"/>
  <c r="I20" i="15"/>
  <c r="H18" i="15"/>
  <c r="H9" i="15" s="1"/>
  <c r="H26" i="15" s="1"/>
  <c r="H20" i="15"/>
  <c r="G18" i="15"/>
  <c r="G9" i="15" s="1"/>
  <c r="G20" i="15"/>
  <c r="F18" i="15"/>
  <c r="F9" i="15" s="1"/>
  <c r="F26" i="15" s="1"/>
  <c r="F20" i="15"/>
  <c r="E18" i="15"/>
  <c r="E9" i="15" s="1"/>
  <c r="E20" i="15"/>
  <c r="D18" i="15"/>
  <c r="D9" i="15" s="1"/>
  <c r="D20" i="15"/>
  <c r="C18" i="15"/>
  <c r="C9" i="15" s="1"/>
  <c r="C20" i="15"/>
  <c r="B18" i="15"/>
  <c r="B9" i="15"/>
  <c r="B20" i="15"/>
  <c r="I9" i="16"/>
  <c r="H26" i="19"/>
  <c r="C9" i="20"/>
  <c r="C26" i="20" s="1"/>
  <c r="G9" i="20"/>
  <c r="E9" i="20"/>
  <c r="I9" i="21"/>
  <c r="I25" i="21" s="1"/>
  <c r="L19" i="21"/>
  <c r="E9" i="24"/>
  <c r="E25" i="24" s="1"/>
  <c r="I26" i="18"/>
  <c r="I26" i="19"/>
  <c r="K26" i="16"/>
  <c r="D9" i="12"/>
  <c r="D24" i="12" s="1"/>
  <c r="J24" i="11"/>
  <c r="C26" i="18"/>
  <c r="M9" i="24"/>
  <c r="M25" i="24" s="1"/>
  <c r="E9" i="25"/>
  <c r="K25" i="25"/>
  <c r="D9" i="26"/>
  <c r="D26" i="15"/>
  <c r="G26" i="15" l="1"/>
  <c r="I26" i="15"/>
  <c r="C26" i="14"/>
  <c r="F26" i="13"/>
  <c r="F18" i="10"/>
  <c r="G16" i="10"/>
  <c r="J19" i="6"/>
  <c r="J25" i="6" s="1"/>
  <c r="L19" i="6"/>
  <c r="L25" i="6" s="1"/>
  <c r="M19" i="6"/>
  <c r="M25" i="6" s="1"/>
  <c r="Z24" i="8"/>
  <c r="AD24" i="8"/>
  <c r="BM24" i="8"/>
  <c r="AK24" i="8"/>
  <c r="AG24" i="8"/>
  <c r="AC24" i="8"/>
  <c r="J26" i="15"/>
  <c r="L26" i="15"/>
  <c r="D26" i="16"/>
  <c r="J26" i="16"/>
  <c r="D26" i="17"/>
  <c r="F26" i="17"/>
  <c r="J26" i="17"/>
  <c r="B26" i="18"/>
  <c r="F26" i="18"/>
  <c r="L26" i="20"/>
  <c r="B25" i="21"/>
  <c r="C25" i="21"/>
  <c r="E25" i="21"/>
  <c r="K25" i="21"/>
  <c r="D25" i="24"/>
  <c r="F25" i="24"/>
  <c r="I25" i="24"/>
  <c r="J25" i="24"/>
  <c r="C25" i="25"/>
  <c r="H9" i="25"/>
  <c r="H25" i="25" s="1"/>
  <c r="J25" i="25"/>
  <c r="L25" i="25"/>
  <c r="E26" i="20"/>
  <c r="K26" i="14"/>
  <c r="F24" i="12"/>
  <c r="C18" i="10"/>
  <c r="H18" i="10"/>
  <c r="E25" i="6"/>
  <c r="AV24" i="8"/>
  <c r="AR24" i="8"/>
  <c r="C26" i="17"/>
  <c r="G26" i="17"/>
  <c r="K26" i="17"/>
  <c r="F25" i="21"/>
  <c r="E26" i="15"/>
  <c r="J16" i="10"/>
  <c r="K19" i="6"/>
  <c r="K25" i="6" s="1"/>
  <c r="BJ24" i="8"/>
  <c r="E26" i="16"/>
  <c r="B26" i="15"/>
  <c r="D24" i="11"/>
  <c r="L25" i="24"/>
  <c r="E9" i="10"/>
  <c r="E24" i="10" s="1"/>
  <c r="BA24" i="8"/>
  <c r="AZ24" i="8"/>
  <c r="I26" i="13"/>
  <c r="E24" i="12"/>
  <c r="I24" i="12"/>
  <c r="M24" i="12"/>
  <c r="K24" i="11"/>
  <c r="L24" i="10"/>
  <c r="D25" i="6"/>
  <c r="G19" i="6"/>
  <c r="G25" i="6" s="1"/>
  <c r="H19" i="6"/>
  <c r="I19" i="6"/>
  <c r="I25" i="6" s="1"/>
  <c r="AO24" i="8"/>
  <c r="C26" i="16"/>
  <c r="M26" i="16"/>
  <c r="J25" i="21"/>
  <c r="B25" i="25"/>
  <c r="G25" i="25"/>
  <c r="B25" i="26"/>
  <c r="B18" i="10"/>
  <c r="F16" i="10"/>
  <c r="F9" i="10" s="1"/>
  <c r="F24" i="10" s="1"/>
  <c r="L26" i="17"/>
  <c r="D25" i="26"/>
  <c r="G25" i="26"/>
  <c r="E25" i="25"/>
  <c r="I26" i="14"/>
  <c r="C26" i="13"/>
  <c r="L24" i="11"/>
  <c r="B9" i="10"/>
  <c r="H9" i="10"/>
  <c r="H24" i="10" s="1"/>
  <c r="H25" i="6"/>
  <c r="BT24" i="8"/>
  <c r="B26" i="16"/>
  <c r="F26" i="16"/>
  <c r="M26" i="18"/>
  <c r="L25" i="21"/>
  <c r="K25" i="24"/>
  <c r="E26" i="17"/>
  <c r="I26" i="17"/>
  <c r="H26" i="18"/>
  <c r="J26" i="18"/>
  <c r="E26" i="19"/>
  <c r="K26" i="19"/>
  <c r="M26" i="19"/>
  <c r="H26" i="20"/>
  <c r="I25" i="25"/>
  <c r="K25" i="26"/>
  <c r="M25" i="26"/>
  <c r="G25" i="24"/>
  <c r="I26" i="16"/>
  <c r="C26" i="15"/>
  <c r="H26" i="14"/>
  <c r="D26" i="13"/>
  <c r="J9" i="13"/>
  <c r="J26" i="13" s="1"/>
  <c r="H24" i="12"/>
  <c r="J24" i="12"/>
  <c r="E24" i="11"/>
  <c r="M9" i="11"/>
  <c r="M24" i="11" s="1"/>
  <c r="C9" i="10"/>
  <c r="C24" i="10" s="1"/>
  <c r="D9" i="10"/>
  <c r="D18" i="10"/>
  <c r="AB24" i="8"/>
  <c r="AL24" i="8"/>
  <c r="AP24" i="8"/>
  <c r="AS24" i="8"/>
  <c r="BE24" i="8"/>
  <c r="BH24" i="8"/>
  <c r="BN24" i="8"/>
  <c r="K26" i="15"/>
  <c r="M26" i="15"/>
  <c r="H26" i="16"/>
  <c r="H26" i="17"/>
  <c r="M26" i="17"/>
  <c r="E26" i="18"/>
  <c r="B26" i="19"/>
  <c r="F26" i="19"/>
  <c r="L26" i="19"/>
  <c r="G26" i="20"/>
  <c r="H25" i="21"/>
  <c r="D25" i="25"/>
  <c r="M25" i="25"/>
  <c r="H25" i="26"/>
  <c r="G9" i="10"/>
  <c r="G24" i="10" s="1"/>
  <c r="D24" i="10" l="1"/>
  <c r="B24" i="10"/>
</calcChain>
</file>

<file path=xl/sharedStrings.xml><?xml version="1.0" encoding="utf-8"?>
<sst xmlns="http://schemas.openxmlformats.org/spreadsheetml/2006/main" count="642" uniqueCount="35">
  <si>
    <t>LTN</t>
  </si>
  <si>
    <t>NTN-C</t>
  </si>
  <si>
    <t>NTN-D</t>
  </si>
  <si>
    <t>TDA</t>
  </si>
  <si>
    <t>Demais</t>
  </si>
  <si>
    <t xml:space="preserve">Mobiliária </t>
  </si>
  <si>
    <t xml:space="preserve">Org. Multilaterais </t>
  </si>
  <si>
    <t xml:space="preserve">Bancos Privados/Agências Governamentais </t>
  </si>
  <si>
    <t xml:space="preserve">Clube de Paris </t>
  </si>
  <si>
    <t>Dívida Pública Federal</t>
  </si>
  <si>
    <t xml:space="preserve">Dívida Pública Federal Interna </t>
  </si>
  <si>
    <t xml:space="preserve">Dívida Pública Federal Externa </t>
  </si>
  <si>
    <t>LFT *</t>
  </si>
  <si>
    <t>* Emitidas por meio de oferta pública.</t>
  </si>
  <si>
    <t>Dívida Securitizada **</t>
  </si>
  <si>
    <t>** Inclui dívida agrícola e certificados de privatização.</t>
  </si>
  <si>
    <t>Estoque da Dívida Pública Federal em mercado (R$ milhões)</t>
  </si>
  <si>
    <t>N/D</t>
  </si>
  <si>
    <t>SECRETARIA DO TESOURO NACIONAL</t>
  </si>
  <si>
    <t xml:space="preserve">LFT </t>
  </si>
  <si>
    <t>STN</t>
  </si>
  <si>
    <t>COORDENAÇÃO-GERAL DE CONTROLE DA DÍVIDA PÚBLICA - CODIV</t>
  </si>
  <si>
    <t>GERÊNCIA DE INFORMAÇÕES E ESTATÍSTICAS DA DÍVIDA PÚBLICA - GEEST</t>
  </si>
  <si>
    <t>Títulos sob responsabilidade da Secretaria do Tesouro Nacional</t>
  </si>
  <si>
    <t>NTN-B</t>
  </si>
  <si>
    <t>NTN-F</t>
  </si>
  <si>
    <t>** Inclui dívida agrícola.</t>
  </si>
  <si>
    <t>Dívida Securitizada</t>
  </si>
  <si>
    <t>* Os valores informados nesta tabela se referem ao estoque por apropriação. Trata-se da demonstração dos saldos de valores arrecadados (ou simplesmente reconhecidos) com os juros e deságios apropriados (método da apropriação). Este enfoque se caracteriza por ser marcadamente contábil e atender às disposições da Lei 4.320/64, associadas às exigências complementares mais recentes dadas pelos Princípios Fundamentais de Contabilidade (Resolução n° 750/93). Os valores de estoque informados nos relatórios da Dívida Pública Federal (RMD, RAD e PAF) são calculados por meio da metodologia da TIR, que utiliza a taxa interna de retorno média das emissões como taxa de desconto para determinação do valor presente dos títulos. As séries históricas do estoque calculado por esta metodologia estão disponíveis nos referidos documentos.</t>
  </si>
  <si>
    <t>* A partir de maio/09, estes dados passaram a ser calculados com base nas projeções dos índices não divulgados até a data de fechamento do SIAFI.</t>
  </si>
  <si>
    <t>* Dados calculados com base em índices projetados na data de fechamento do SIAFI</t>
  </si>
  <si>
    <t>LFT</t>
  </si>
  <si>
    <t>COORDENAÇÃO-GERAL DE CONTROLE E PAGAMENTO DA DÍVIDA PÚBLICA - CODIV</t>
  </si>
  <si>
    <t>* Dados calculados com base em índices projetados na data de fechamento do SIAFI.</t>
  </si>
  <si>
    <t>Nota: A publicação desta estatística, referente aos dados de setembro/2020 em diante, não mais ocorrerá, tendo em vista que o estoque da Dívida Pública Federal (DPF), registrado no Sistema Integrado de Administração Financeira (SIAFI), passou a ser calculado pela metodologia baseada na Taxa Interna de Retorno (TIR), conforme estoque divulgado no Relatório Mensal da Dívida (RMD). Esse relatório está disponível no endereço: https://www.tesourotransparente.gov.br/publicacoes/relatorio-mensal-da-divida-rmd/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</si>
</sst>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 #,##0_);_(* \(#,##0\);_(* &quot;-&quot;??_);_(@_)"/>
    <numFmt numFmtId="167" formatCode="_-* #,##0_-;\-* #,##0_-;_-* &quot;-&quot;??_-;_-@_-"/>
  </numFmts>
  <fonts count="21" x14ac:knownFonts="1">
    <font>
      <sz val="10"/>
      <name val="Arial"/>
    </font>
    <font>
      <sz val="10"/>
      <name val="Arial"/>
      <family val="2"/>
    </font>
    <font>
      <b/>
      <sz val="10"/>
      <name val="Arial"/>
      <family val="2"/>
    </font>
    <font>
      <sz val="9"/>
      <name val="Arial"/>
      <family val="2"/>
    </font>
    <font>
      <sz val="10"/>
      <name val="Arial"/>
      <family val="2"/>
    </font>
    <font>
      <b/>
      <sz val="20"/>
      <color indexed="9"/>
      <name val="Arial"/>
      <family val="2"/>
    </font>
    <font>
      <b/>
      <sz val="10"/>
      <color indexed="9"/>
      <name val="Arial"/>
      <family val="2"/>
    </font>
    <font>
      <sz val="10"/>
      <color indexed="10"/>
      <name val="Arial"/>
      <family val="2"/>
    </font>
    <font>
      <b/>
      <sz val="10"/>
      <color indexed="8"/>
      <name val="Arial"/>
      <family val="2"/>
    </font>
    <font>
      <sz val="10"/>
      <color indexed="8"/>
      <name val="Arial"/>
      <family val="2"/>
    </font>
    <font>
      <sz val="10"/>
      <name val="Arial"/>
      <family val="2"/>
    </font>
    <font>
      <sz val="8"/>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color rgb="FFFF0000"/>
      <name val="Arial"/>
      <family val="2"/>
    </font>
    <font>
      <sz val="9"/>
      <color rgb="FFFF0000"/>
      <name val="Arial"/>
      <family val="2"/>
    </font>
    <font>
      <sz val="10"/>
      <color rgb="FF002060"/>
      <name val="Arial"/>
      <family val="2"/>
    </font>
  </fonts>
  <fills count="3">
    <fill>
      <patternFill patternType="none"/>
    </fill>
    <fill>
      <patternFill patternType="gray125"/>
    </fill>
    <fill>
      <patternFill patternType="solid">
        <fgColor indexed="48"/>
        <bgColor indexed="64"/>
      </patternFill>
    </fill>
  </fills>
  <borders count="13">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style="thick">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165" fontId="1" fillId="0" borderId="0" applyFont="0" applyFill="0" applyBorder="0" applyAlignment="0" applyProtection="0"/>
    <xf numFmtId="165" fontId="14" fillId="0" borderId="0" applyFont="0" applyFill="0" applyBorder="0" applyAlignment="0" applyProtection="0"/>
  </cellStyleXfs>
  <cellXfs count="109">
    <xf numFmtId="0" fontId="0" fillId="0" borderId="0" xfId="0"/>
    <xf numFmtId="0" fontId="2" fillId="0" borderId="0" xfId="0" applyFont="1"/>
    <xf numFmtId="0" fontId="2" fillId="0" borderId="1" xfId="0" applyFont="1" applyBorder="1"/>
    <xf numFmtId="3" fontId="0" fillId="0" borderId="0" xfId="0" applyNumberFormat="1"/>
    <xf numFmtId="166" fontId="0" fillId="0" borderId="0" xfId="2" applyNumberFormat="1" applyFont="1"/>
    <xf numFmtId="166" fontId="0" fillId="0" borderId="0" xfId="0" applyNumberFormat="1"/>
    <xf numFmtId="0" fontId="0" fillId="0" borderId="1" xfId="0" applyBorder="1"/>
    <xf numFmtId="0" fontId="3" fillId="0" borderId="0" xfId="0" applyFont="1"/>
    <xf numFmtId="166" fontId="2" fillId="0" borderId="1" xfId="2" applyNumberFormat="1" applyFont="1" applyBorder="1"/>
    <xf numFmtId="166" fontId="1" fillId="0" borderId="0" xfId="2" applyNumberFormat="1"/>
    <xf numFmtId="165" fontId="0" fillId="0" borderId="0" xfId="2" applyFont="1"/>
    <xf numFmtId="165" fontId="0" fillId="0" borderId="0" xfId="0" applyNumberFormat="1"/>
    <xf numFmtId="4" fontId="0" fillId="0" borderId="0" xfId="0" applyNumberFormat="1"/>
    <xf numFmtId="0" fontId="5" fillId="2" borderId="0" xfId="0" applyFont="1" applyFill="1" applyProtection="1">
      <protection locked="0"/>
    </xf>
    <xf numFmtId="0" fontId="6" fillId="2" borderId="0" xfId="0" applyFont="1" applyFill="1" applyProtection="1">
      <protection locked="0"/>
    </xf>
    <xf numFmtId="0" fontId="6" fillId="2" borderId="0" xfId="0" applyFont="1" applyFill="1"/>
    <xf numFmtId="165" fontId="6" fillId="2" borderId="0" xfId="2" applyFont="1" applyFill="1"/>
    <xf numFmtId="0" fontId="2" fillId="0" borderId="0" xfId="0" applyFont="1" applyProtection="1">
      <protection locked="0"/>
    </xf>
    <xf numFmtId="165" fontId="2" fillId="0" borderId="0" xfId="2" applyFont="1"/>
    <xf numFmtId="0" fontId="2" fillId="0" borderId="2" xfId="0" applyFont="1" applyBorder="1"/>
    <xf numFmtId="0" fontId="0" fillId="2" borderId="0" xfId="0" applyFill="1"/>
    <xf numFmtId="17" fontId="2" fillId="0" borderId="1" xfId="0" applyNumberFormat="1" applyFont="1" applyBorder="1" applyAlignment="1">
      <alignment horizontal="right"/>
    </xf>
    <xf numFmtId="166" fontId="2" fillId="0" borderId="1" xfId="0" applyNumberFormat="1" applyFont="1" applyBorder="1" applyAlignment="1">
      <alignment horizontal="right"/>
    </xf>
    <xf numFmtId="3" fontId="2" fillId="0" borderId="1" xfId="0" applyNumberFormat="1" applyFont="1" applyBorder="1" applyAlignment="1">
      <alignment horizontal="right"/>
    </xf>
    <xf numFmtId="166" fontId="1" fillId="0" borderId="0" xfId="2" applyNumberFormat="1" applyAlignment="1">
      <alignment horizontal="right"/>
    </xf>
    <xf numFmtId="0" fontId="0" fillId="0" borderId="0" xfId="0" applyAlignment="1">
      <alignment horizontal="right"/>
    </xf>
    <xf numFmtId="0" fontId="2" fillId="0" borderId="1" xfId="0" applyFont="1" applyBorder="1" applyAlignment="1">
      <alignment horizontal="right"/>
    </xf>
    <xf numFmtId="166" fontId="2" fillId="0" borderId="1" xfId="2" applyNumberFormat="1" applyFont="1" applyBorder="1" applyAlignment="1">
      <alignment horizontal="right"/>
    </xf>
    <xf numFmtId="166" fontId="0" fillId="0" borderId="0" xfId="2" applyNumberFormat="1" applyFont="1" applyAlignment="1">
      <alignment horizontal="right"/>
    </xf>
    <xf numFmtId="166" fontId="0" fillId="0" borderId="0" xfId="0" applyNumberFormat="1" applyAlignment="1">
      <alignment horizontal="right"/>
    </xf>
    <xf numFmtId="0" fontId="0" fillId="0" borderId="1" xfId="0" applyBorder="1" applyAlignment="1">
      <alignment horizontal="right"/>
    </xf>
    <xf numFmtId="166" fontId="2" fillId="0" borderId="0" xfId="0" applyNumberFormat="1" applyFont="1" applyAlignment="1">
      <alignment horizontal="right"/>
    </xf>
    <xf numFmtId="3" fontId="2" fillId="0" borderId="0" xfId="0" applyNumberFormat="1" applyFont="1" applyAlignment="1">
      <alignment horizontal="right"/>
    </xf>
    <xf numFmtId="3" fontId="0" fillId="0" borderId="0" xfId="2" applyNumberFormat="1" applyFont="1" applyAlignment="1">
      <alignment horizontal="right"/>
    </xf>
    <xf numFmtId="3" fontId="0" fillId="0" borderId="0" xfId="0" applyNumberFormat="1" applyAlignment="1">
      <alignment horizontal="right"/>
    </xf>
    <xf numFmtId="3" fontId="2" fillId="0" borderId="1" xfId="2" applyNumberFormat="1" applyFont="1" applyBorder="1" applyAlignment="1">
      <alignment horizontal="right"/>
    </xf>
    <xf numFmtId="3" fontId="0" fillId="0" borderId="1" xfId="0" applyNumberFormat="1" applyBorder="1" applyAlignment="1">
      <alignment horizontal="right"/>
    </xf>
    <xf numFmtId="3" fontId="1" fillId="0" borderId="0" xfId="2" applyNumberFormat="1" applyAlignment="1">
      <alignment horizontal="right"/>
    </xf>
    <xf numFmtId="3" fontId="4" fillId="0" borderId="0" xfId="0" applyNumberFormat="1" applyFont="1" applyAlignment="1">
      <alignment horizontal="right"/>
    </xf>
    <xf numFmtId="3" fontId="2" fillId="0" borderId="0" xfId="0" applyNumberFormat="1" applyFont="1"/>
    <xf numFmtId="166" fontId="0" fillId="0" borderId="3" xfId="0" applyNumberFormat="1" applyBorder="1"/>
    <xf numFmtId="3" fontId="1" fillId="0" borderId="1" xfId="2" applyNumberFormat="1" applyBorder="1" applyAlignment="1">
      <alignment horizontal="right"/>
    </xf>
    <xf numFmtId="3" fontId="4" fillId="0" borderId="0" xfId="0" applyNumberFormat="1" applyFont="1"/>
    <xf numFmtId="165" fontId="1" fillId="0" borderId="0" xfId="2" applyAlignment="1">
      <alignment horizontal="right"/>
    </xf>
    <xf numFmtId="164" fontId="1" fillId="0" borderId="0" xfId="2" applyNumberFormat="1" applyAlignment="1">
      <alignment horizontal="right"/>
    </xf>
    <xf numFmtId="3" fontId="7" fillId="0" borderId="0" xfId="0" applyNumberFormat="1" applyFont="1" applyAlignment="1">
      <alignment horizontal="right"/>
    </xf>
    <xf numFmtId="3" fontId="7" fillId="0" borderId="1" xfId="2" applyNumberFormat="1" applyFont="1" applyBorder="1" applyAlignment="1">
      <alignment horizontal="right"/>
    </xf>
    <xf numFmtId="3" fontId="8" fillId="0" borderId="1" xfId="0" applyNumberFormat="1" applyFont="1" applyBorder="1" applyAlignment="1">
      <alignment horizontal="right"/>
    </xf>
    <xf numFmtId="3" fontId="8" fillId="0" borderId="1" xfId="2" applyNumberFormat="1" applyFont="1" applyBorder="1" applyAlignment="1">
      <alignment horizontal="right"/>
    </xf>
    <xf numFmtId="3" fontId="8" fillId="0" borderId="0" xfId="0" applyNumberFormat="1" applyFont="1" applyAlignment="1">
      <alignment horizontal="right"/>
    </xf>
    <xf numFmtId="164" fontId="9" fillId="0" borderId="0" xfId="2" applyNumberFormat="1" applyFont="1" applyAlignment="1">
      <alignment horizontal="right"/>
    </xf>
    <xf numFmtId="3" fontId="4" fillId="0" borderId="0" xfId="2" applyNumberFormat="1" applyFont="1" applyAlignment="1">
      <alignment horizontal="right"/>
    </xf>
    <xf numFmtId="164" fontId="4" fillId="0" borderId="0" xfId="2" applyNumberFormat="1" applyFont="1" applyAlignment="1">
      <alignment horizontal="right"/>
    </xf>
    <xf numFmtId="3" fontId="10" fillId="0" borderId="0" xfId="2" applyNumberFormat="1" applyFont="1" applyAlignment="1">
      <alignment horizontal="right"/>
    </xf>
    <xf numFmtId="3" fontId="12" fillId="0" borderId="0" xfId="2" applyNumberFormat="1" applyFont="1" applyAlignment="1">
      <alignment horizontal="right"/>
    </xf>
    <xf numFmtId="0" fontId="11" fillId="0" borderId="0" xfId="0" applyFont="1" applyAlignment="1">
      <alignment vertical="justify" wrapText="1"/>
    </xf>
    <xf numFmtId="3" fontId="13" fillId="0" borderId="0" xfId="2" applyNumberFormat="1" applyFont="1" applyAlignment="1">
      <alignment horizontal="right"/>
    </xf>
    <xf numFmtId="17" fontId="2" fillId="0" borderId="1" xfId="1" applyNumberFormat="1" applyFont="1" applyBorder="1" applyAlignment="1">
      <alignment horizontal="right"/>
    </xf>
    <xf numFmtId="3" fontId="8" fillId="0" borderId="1" xfId="1" applyNumberFormat="1" applyFont="1" applyBorder="1" applyAlignment="1">
      <alignment horizontal="right"/>
    </xf>
    <xf numFmtId="167" fontId="14" fillId="0" borderId="0" xfId="2" applyNumberFormat="1" applyFont="1"/>
    <xf numFmtId="3" fontId="7" fillId="0" borderId="0" xfId="1" applyNumberFormat="1" applyFont="1" applyAlignment="1">
      <alignment horizontal="right"/>
    </xf>
    <xf numFmtId="3" fontId="8" fillId="0" borderId="1" xfId="3" applyNumberFormat="1" applyFont="1" applyBorder="1" applyAlignment="1">
      <alignment horizontal="right"/>
    </xf>
    <xf numFmtId="3" fontId="14" fillId="0" borderId="0" xfId="3" applyNumberFormat="1" applyAlignment="1">
      <alignment horizontal="right"/>
    </xf>
    <xf numFmtId="164" fontId="9" fillId="0" borderId="0" xfId="3" applyNumberFormat="1" applyFont="1" applyAlignment="1">
      <alignment horizontal="right"/>
    </xf>
    <xf numFmtId="3" fontId="7" fillId="0" borderId="1" xfId="3" applyNumberFormat="1" applyFont="1" applyBorder="1" applyAlignment="1">
      <alignment horizontal="right"/>
    </xf>
    <xf numFmtId="3" fontId="8" fillId="0" borderId="0" xfId="1" applyNumberFormat="1" applyFont="1" applyAlignment="1">
      <alignment horizontal="right"/>
    </xf>
    <xf numFmtId="3" fontId="2" fillId="0" borderId="1" xfId="1" applyNumberFormat="1" applyFont="1" applyBorder="1" applyAlignment="1">
      <alignment horizontal="right"/>
    </xf>
    <xf numFmtId="167" fontId="4" fillId="0" borderId="0" xfId="2" applyNumberFormat="1" applyFont="1"/>
    <xf numFmtId="3" fontId="4" fillId="0" borderId="0" xfId="1" applyNumberFormat="1" applyFont="1" applyAlignment="1">
      <alignment horizontal="right"/>
    </xf>
    <xf numFmtId="3" fontId="2" fillId="0" borderId="1" xfId="3" applyNumberFormat="1" applyFont="1" applyBorder="1" applyAlignment="1">
      <alignment horizontal="right"/>
    </xf>
    <xf numFmtId="3" fontId="4" fillId="0" borderId="0" xfId="3" applyNumberFormat="1" applyFont="1" applyAlignment="1">
      <alignment horizontal="right"/>
    </xf>
    <xf numFmtId="164" fontId="4" fillId="0" borderId="0" xfId="3" applyNumberFormat="1" applyFont="1" applyAlignment="1">
      <alignment horizontal="right"/>
    </xf>
    <xf numFmtId="3" fontId="4" fillId="0" borderId="1" xfId="3" applyNumberFormat="1" applyFont="1" applyBorder="1" applyAlignment="1">
      <alignment horizontal="right"/>
    </xf>
    <xf numFmtId="3" fontId="2" fillId="0" borderId="0" xfId="1" applyNumberFormat="1" applyFont="1" applyAlignment="1">
      <alignment horizontal="right"/>
    </xf>
    <xf numFmtId="0" fontId="4" fillId="2" borderId="0" xfId="1" applyFont="1" applyFill="1"/>
    <xf numFmtId="0" fontId="14" fillId="2" borderId="0" xfId="1" applyFill="1"/>
    <xf numFmtId="0" fontId="11" fillId="0" borderId="0" xfId="0" applyFont="1"/>
    <xf numFmtId="167" fontId="1" fillId="0" borderId="0" xfId="2" applyNumberFormat="1"/>
    <xf numFmtId="3" fontId="1" fillId="0" borderId="0" xfId="3" applyNumberFormat="1" applyFont="1" applyAlignment="1">
      <alignment horizontal="right"/>
    </xf>
    <xf numFmtId="164" fontId="1" fillId="0" borderId="0" xfId="3" applyNumberFormat="1" applyFont="1" applyAlignment="1">
      <alignment horizontal="right"/>
    </xf>
    <xf numFmtId="167" fontId="15" fillId="0" borderId="0" xfId="2" applyNumberFormat="1" applyFont="1"/>
    <xf numFmtId="167" fontId="16" fillId="0" borderId="0" xfId="2" applyNumberFormat="1" applyFont="1"/>
    <xf numFmtId="0" fontId="2" fillId="0" borderId="0" xfId="0" applyFont="1"/>
    <xf numFmtId="0" fontId="0" fillId="0" borderId="0" xfId="0"/>
    <xf numFmtId="0" fontId="3" fillId="0" borderId="0" xfId="0" applyFont="1"/>
    <xf numFmtId="0" fontId="11" fillId="0" borderId="0" xfId="0" applyFont="1" applyAlignment="1">
      <alignment horizontal="justify" vertical="justify"/>
    </xf>
    <xf numFmtId="0" fontId="11" fillId="0" borderId="0" xfId="0" applyFont="1" applyAlignment="1">
      <alignment vertical="justify" wrapText="1"/>
    </xf>
    <xf numFmtId="167" fontId="17" fillId="0" borderId="0" xfId="2" applyNumberFormat="1" applyFont="1"/>
    <xf numFmtId="0" fontId="18" fillId="0" borderId="0" xfId="0" applyFont="1" applyFill="1" applyAlignment="1">
      <alignment horizontal="justify" vertical="justify"/>
    </xf>
    <xf numFmtId="0" fontId="18" fillId="0" borderId="0" xfId="0" applyFont="1" applyFill="1" applyAlignment="1">
      <alignment horizontal="center" vertical="justify"/>
    </xf>
    <xf numFmtId="0" fontId="18" fillId="0" borderId="0" xfId="0" applyFont="1" applyAlignment="1">
      <alignment horizontal="justify" vertical="justify"/>
    </xf>
    <xf numFmtId="0" fontId="19" fillId="0" borderId="0" xfId="0" applyFont="1" applyAlignment="1">
      <alignment horizontal="justify" vertical="justify"/>
    </xf>
    <xf numFmtId="0" fontId="2" fillId="0" borderId="0" xfId="0" applyFont="1"/>
    <xf numFmtId="0" fontId="0" fillId="0" borderId="0" xfId="0"/>
    <xf numFmtId="0" fontId="3" fillId="0" borderId="0" xfId="0" applyFont="1"/>
    <xf numFmtId="0" fontId="11" fillId="0" borderId="0" xfId="0" applyFont="1" applyAlignment="1">
      <alignment horizontal="justify" vertical="justify" wrapText="1"/>
    </xf>
    <xf numFmtId="0" fontId="11" fillId="0" borderId="0" xfId="0" applyFont="1" applyAlignment="1">
      <alignment horizontal="justify" vertical="justify"/>
    </xf>
    <xf numFmtId="0" fontId="11" fillId="0" borderId="0" xfId="0" applyFont="1" applyAlignment="1">
      <alignment horizontal="left" vertical="justify" wrapText="1"/>
    </xf>
    <xf numFmtId="0" fontId="11" fillId="0" borderId="4" xfId="0" applyFont="1" applyBorder="1" applyAlignment="1">
      <alignment horizontal="justify" vertical="justify"/>
    </xf>
    <xf numFmtId="0" fontId="11" fillId="0" borderId="0" xfId="0" applyFont="1" applyAlignment="1">
      <alignment vertical="justify" wrapText="1"/>
    </xf>
    <xf numFmtId="0" fontId="20" fillId="0" borderId="5" xfId="0" applyFont="1" applyBorder="1" applyAlignment="1">
      <alignment horizontal="justify" vertical="justify"/>
    </xf>
    <xf numFmtId="0" fontId="20" fillId="0" borderId="6" xfId="0" applyFont="1" applyBorder="1" applyAlignment="1">
      <alignment horizontal="justify" vertical="justify"/>
    </xf>
    <xf numFmtId="0" fontId="20" fillId="0" borderId="7" xfId="0" applyFont="1" applyBorder="1" applyAlignment="1">
      <alignment horizontal="justify" vertical="justify"/>
    </xf>
    <xf numFmtId="0" fontId="20" fillId="0" borderId="8" xfId="0" applyFont="1" applyBorder="1" applyAlignment="1">
      <alignment horizontal="justify" vertical="justify"/>
    </xf>
    <xf numFmtId="0" fontId="20" fillId="0" borderId="0" xfId="0" applyFont="1" applyBorder="1" applyAlignment="1">
      <alignment horizontal="justify" vertical="justify"/>
    </xf>
    <xf numFmtId="0" fontId="20" fillId="0" borderId="9" xfId="0" applyFont="1" applyBorder="1" applyAlignment="1">
      <alignment horizontal="justify" vertical="justify"/>
    </xf>
    <xf numFmtId="0" fontId="20" fillId="0" borderId="10" xfId="0" applyFont="1" applyBorder="1" applyAlignment="1">
      <alignment horizontal="justify" vertical="justify"/>
    </xf>
    <xf numFmtId="0" fontId="20" fillId="0" borderId="11" xfId="0" applyFont="1" applyBorder="1" applyAlignment="1">
      <alignment horizontal="justify" vertical="justify"/>
    </xf>
    <xf numFmtId="0" fontId="20" fillId="0" borderId="12" xfId="0" applyFont="1" applyBorder="1" applyAlignment="1">
      <alignment horizontal="justify" vertical="justify"/>
    </xf>
  </cellXfs>
  <cellStyles count="4">
    <cellStyle name="Normal" xfId="0" builtinId="0"/>
    <cellStyle name="Normal 2" xfId="1" xr:uid="{00000000-0005-0000-0000-000001000000}"/>
    <cellStyle name="Vírgula" xfId="2" builtinId="3"/>
    <cellStyle name="Vírgula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68"/>
  <sheetViews>
    <sheetView workbookViewId="0">
      <pane xSplit="1" topLeftCell="BQ1" activePane="topRight" state="frozen"/>
      <selection activeCell="A7" sqref="A7"/>
      <selection pane="topRight" activeCell="B1" sqref="B1"/>
    </sheetView>
  </sheetViews>
  <sheetFormatPr defaultRowHeight="12.75" x14ac:dyDescent="0.2"/>
  <cols>
    <col min="1" max="1" width="42" bestFit="1" customWidth="1"/>
    <col min="2" max="3" width="11.28515625" bestFit="1" customWidth="1"/>
    <col min="4" max="4" width="13.140625" customWidth="1"/>
    <col min="5" max="23" width="11.28515625" bestFit="1" customWidth="1"/>
    <col min="24" max="25" width="12.28515625" bestFit="1" customWidth="1"/>
    <col min="26" max="49" width="12.5703125" bestFit="1" customWidth="1"/>
    <col min="50" max="70" width="12.85546875" bestFit="1" customWidth="1"/>
    <col min="71" max="73" width="13.28515625" bestFit="1" customWidth="1"/>
    <col min="74" max="78" width="11.28515625" bestFit="1" customWidth="1"/>
  </cols>
  <sheetData>
    <row r="1" spans="1:73" ht="26.25" x14ac:dyDescent="0.4">
      <c r="A1" s="13" t="s">
        <v>20</v>
      </c>
      <c r="B1" s="14" t="s">
        <v>18</v>
      </c>
      <c r="C1" s="15"/>
      <c r="D1" s="16"/>
    </row>
    <row r="2" spans="1:73" x14ac:dyDescent="0.2">
      <c r="A2" s="14"/>
      <c r="B2" s="15"/>
      <c r="C2" s="15"/>
      <c r="D2" s="16"/>
    </row>
    <row r="3" spans="1:73" x14ac:dyDescent="0.2">
      <c r="A3" s="17" t="s">
        <v>21</v>
      </c>
      <c r="B3" s="1"/>
      <c r="C3" s="1"/>
      <c r="D3" s="18"/>
      <c r="E3" s="18"/>
      <c r="F3" s="11"/>
      <c r="G3" s="11"/>
    </row>
    <row r="4" spans="1:73" x14ac:dyDescent="0.2">
      <c r="A4" s="17" t="s">
        <v>22</v>
      </c>
      <c r="B4" s="1"/>
      <c r="C4" s="1"/>
      <c r="D4" s="18"/>
      <c r="E4" s="18"/>
    </row>
    <row r="6" spans="1:73" x14ac:dyDescent="0.2">
      <c r="A6" s="92" t="s">
        <v>16</v>
      </c>
      <c r="B6" s="92"/>
      <c r="C6" s="92"/>
      <c r="D6" s="92"/>
      <c r="E6" s="92"/>
      <c r="F6" s="92"/>
      <c r="G6" s="92"/>
      <c r="H6" s="92"/>
      <c r="I6" s="92"/>
      <c r="J6" s="92"/>
      <c r="K6" s="92"/>
      <c r="L6" s="92"/>
      <c r="M6" s="92"/>
      <c r="N6" s="92"/>
      <c r="O6" s="92"/>
      <c r="P6" s="92"/>
      <c r="Q6" s="92"/>
      <c r="R6" s="92"/>
      <c r="S6" s="92"/>
      <c r="T6" s="92"/>
      <c r="U6" s="92"/>
      <c r="V6" s="92"/>
      <c r="W6" s="92"/>
      <c r="X6" s="92"/>
      <c r="Y6" s="92"/>
      <c r="Z6" s="93"/>
      <c r="AV6" s="3"/>
    </row>
    <row r="7" spans="1:73" x14ac:dyDescent="0.2">
      <c r="A7" s="1" t="s">
        <v>23</v>
      </c>
      <c r="AW7" s="3"/>
      <c r="AX7" s="9"/>
    </row>
    <row r="8" spans="1:73" ht="13.5" thickBot="1" x14ac:dyDescent="0.25">
      <c r="B8" s="21">
        <v>34700</v>
      </c>
      <c r="C8" s="21">
        <v>34731</v>
      </c>
      <c r="D8" s="21">
        <v>34759</v>
      </c>
      <c r="E8" s="21">
        <v>34790</v>
      </c>
      <c r="F8" s="21">
        <v>34820</v>
      </c>
      <c r="G8" s="21">
        <v>34851</v>
      </c>
      <c r="H8" s="21">
        <v>34881</v>
      </c>
      <c r="I8" s="21">
        <v>34912</v>
      </c>
      <c r="J8" s="21">
        <v>34943</v>
      </c>
      <c r="K8" s="21">
        <v>34973</v>
      </c>
      <c r="L8" s="21">
        <v>35004</v>
      </c>
      <c r="M8" s="21">
        <v>35034</v>
      </c>
      <c r="N8" s="21">
        <v>35065</v>
      </c>
      <c r="O8" s="21">
        <v>35096</v>
      </c>
      <c r="P8" s="21">
        <v>35125</v>
      </c>
      <c r="Q8" s="21">
        <v>35156</v>
      </c>
      <c r="R8" s="21">
        <v>35186</v>
      </c>
      <c r="S8" s="21">
        <v>35217</v>
      </c>
      <c r="T8" s="21">
        <v>35247</v>
      </c>
      <c r="U8" s="21">
        <v>35278</v>
      </c>
      <c r="V8" s="21">
        <v>35309</v>
      </c>
      <c r="W8" s="21">
        <v>35339</v>
      </c>
      <c r="X8" s="21">
        <v>35370</v>
      </c>
      <c r="Y8" s="21">
        <v>35400</v>
      </c>
      <c r="Z8" s="21">
        <v>35431</v>
      </c>
      <c r="AA8" s="21">
        <v>35462</v>
      </c>
      <c r="AB8" s="21">
        <v>35490</v>
      </c>
      <c r="AC8" s="21">
        <v>35521</v>
      </c>
      <c r="AD8" s="21">
        <v>35551</v>
      </c>
      <c r="AE8" s="21">
        <v>35582</v>
      </c>
      <c r="AF8" s="21">
        <v>35612</v>
      </c>
      <c r="AG8" s="21">
        <v>35643</v>
      </c>
      <c r="AH8" s="21">
        <v>35674</v>
      </c>
      <c r="AI8" s="21">
        <v>35704</v>
      </c>
      <c r="AJ8" s="21">
        <v>35735</v>
      </c>
      <c r="AK8" s="21">
        <v>35765</v>
      </c>
      <c r="AL8" s="21">
        <v>35796</v>
      </c>
      <c r="AM8" s="21">
        <v>35827</v>
      </c>
      <c r="AN8" s="21">
        <v>35855</v>
      </c>
      <c r="AO8" s="21">
        <v>35886</v>
      </c>
      <c r="AP8" s="21">
        <v>35916</v>
      </c>
      <c r="AQ8" s="21">
        <v>35947</v>
      </c>
      <c r="AR8" s="21">
        <v>35977</v>
      </c>
      <c r="AS8" s="21">
        <v>36008</v>
      </c>
      <c r="AT8" s="21">
        <v>36039</v>
      </c>
      <c r="AU8" s="21">
        <v>36069</v>
      </c>
      <c r="AV8" s="21">
        <v>36100</v>
      </c>
      <c r="AW8" s="21">
        <v>36130</v>
      </c>
      <c r="AX8" s="21">
        <v>36161</v>
      </c>
      <c r="AY8" s="21">
        <v>36192</v>
      </c>
      <c r="AZ8" s="21">
        <v>36220</v>
      </c>
      <c r="BA8" s="21">
        <v>36251</v>
      </c>
      <c r="BB8" s="21">
        <v>36281</v>
      </c>
      <c r="BC8" s="21">
        <v>36312</v>
      </c>
      <c r="BD8" s="21">
        <v>36342</v>
      </c>
      <c r="BE8" s="21">
        <v>36373</v>
      </c>
      <c r="BF8" s="21">
        <v>36404</v>
      </c>
      <c r="BG8" s="21">
        <v>36434</v>
      </c>
      <c r="BH8" s="21">
        <v>36465</v>
      </c>
      <c r="BI8" s="21">
        <v>36495</v>
      </c>
      <c r="BJ8" s="21">
        <v>36526</v>
      </c>
      <c r="BK8" s="21">
        <v>36557</v>
      </c>
      <c r="BL8" s="21">
        <v>36586</v>
      </c>
      <c r="BM8" s="21">
        <v>36617</v>
      </c>
      <c r="BN8" s="21">
        <v>36647</v>
      </c>
      <c r="BO8" s="21">
        <v>36678</v>
      </c>
      <c r="BP8" s="21">
        <v>36708</v>
      </c>
      <c r="BQ8" s="21">
        <v>36739</v>
      </c>
      <c r="BR8" s="21">
        <v>36770</v>
      </c>
      <c r="BS8" s="21">
        <v>36800</v>
      </c>
      <c r="BT8" s="21">
        <v>36831</v>
      </c>
      <c r="BU8" s="21">
        <v>36861</v>
      </c>
    </row>
    <row r="9" spans="1:73" ht="13.5" thickBot="1" x14ac:dyDescent="0.25">
      <c r="A9" s="2" t="s">
        <v>10</v>
      </c>
      <c r="B9" s="22">
        <f t="shared" ref="B9:Y9" si="0">SUM(B10:B16)</f>
        <v>31668.103129000003</v>
      </c>
      <c r="C9" s="22">
        <f t="shared" si="0"/>
        <v>33836.192213000002</v>
      </c>
      <c r="D9" s="22">
        <f t="shared" si="0"/>
        <v>35170.825530999995</v>
      </c>
      <c r="E9" s="22">
        <f t="shared" si="0"/>
        <v>38058.442459385013</v>
      </c>
      <c r="F9" s="22">
        <f t="shared" si="0"/>
        <v>40241.670468090902</v>
      </c>
      <c r="G9" s="22">
        <f t="shared" si="0"/>
        <v>43870.368985572743</v>
      </c>
      <c r="H9" s="22">
        <f t="shared" si="0"/>
        <v>43014.590203085419</v>
      </c>
      <c r="I9" s="22">
        <f t="shared" si="0"/>
        <v>43920.97000730416</v>
      </c>
      <c r="J9" s="22">
        <f t="shared" si="0"/>
        <v>46520.943500260975</v>
      </c>
      <c r="K9" s="22">
        <f t="shared" si="0"/>
        <v>47798.00688252828</v>
      </c>
      <c r="L9" s="22">
        <f t="shared" si="0"/>
        <v>49398.896160043791</v>
      </c>
      <c r="M9" s="22">
        <f t="shared" si="0"/>
        <v>53802.301623282627</v>
      </c>
      <c r="N9" s="22">
        <f t="shared" si="0"/>
        <v>53425.313858734167</v>
      </c>
      <c r="O9" s="22">
        <f t="shared" si="0"/>
        <v>55822.21719279213</v>
      </c>
      <c r="P9" s="22">
        <f t="shared" si="0"/>
        <v>56491.750357749552</v>
      </c>
      <c r="Q9" s="22">
        <f t="shared" si="0"/>
        <v>59160.881436183394</v>
      </c>
      <c r="R9" s="22">
        <f t="shared" si="0"/>
        <v>68506.454287348126</v>
      </c>
      <c r="S9" s="22">
        <f t="shared" si="0"/>
        <v>69501.759897843032</v>
      </c>
      <c r="T9" s="22">
        <f t="shared" si="0"/>
        <v>70150.073692218837</v>
      </c>
      <c r="U9" s="22">
        <f t="shared" si="0"/>
        <v>75868.936166083455</v>
      </c>
      <c r="V9" s="22">
        <f t="shared" si="0"/>
        <v>75065.23294806332</v>
      </c>
      <c r="W9" s="22">
        <f t="shared" si="0"/>
        <v>78198.853351739395</v>
      </c>
      <c r="X9" s="22">
        <f t="shared" si="0"/>
        <v>141844.21169798798</v>
      </c>
      <c r="Y9" s="22">
        <f t="shared" si="0"/>
        <v>147087.42119044339</v>
      </c>
      <c r="Z9" s="23">
        <f t="shared" ref="Z9:BU9" si="1">SUM(Z10:Z16)</f>
        <v>154639.14892499027</v>
      </c>
      <c r="AA9" s="23">
        <f t="shared" si="1"/>
        <v>157988.12479578453</v>
      </c>
      <c r="AB9" s="23">
        <f t="shared" si="1"/>
        <v>161598.32672750441</v>
      </c>
      <c r="AC9" s="23">
        <f t="shared" si="1"/>
        <v>159764.40033465574</v>
      </c>
      <c r="AD9" s="23">
        <f t="shared" si="1"/>
        <v>154697.33199625683</v>
      </c>
      <c r="AE9" s="23">
        <f t="shared" si="1"/>
        <v>148854.46138255484</v>
      </c>
      <c r="AF9" s="23">
        <f t="shared" si="1"/>
        <v>131425.60331161</v>
      </c>
      <c r="AG9" s="23">
        <f t="shared" si="1"/>
        <v>108118.35925743892</v>
      </c>
      <c r="AH9" s="23">
        <f t="shared" si="1"/>
        <v>97821.954158650013</v>
      </c>
      <c r="AI9" s="23">
        <f t="shared" si="1"/>
        <v>100745.69731110649</v>
      </c>
      <c r="AJ9" s="23">
        <f t="shared" si="1"/>
        <v>96600.744057157557</v>
      </c>
      <c r="AK9" s="23">
        <f t="shared" si="1"/>
        <v>118523.97204283386</v>
      </c>
      <c r="AL9" s="23">
        <f t="shared" si="1"/>
        <v>175101.72539299028</v>
      </c>
      <c r="AM9" s="23">
        <f t="shared" si="1"/>
        <v>178634.7812243845</v>
      </c>
      <c r="AN9" s="23">
        <f t="shared" si="1"/>
        <v>182616.44523510439</v>
      </c>
      <c r="AO9" s="23">
        <f t="shared" si="1"/>
        <v>182602.83381188943</v>
      </c>
      <c r="AP9" s="23">
        <f t="shared" si="1"/>
        <v>177615.63065698271</v>
      </c>
      <c r="AQ9" s="23">
        <f t="shared" si="1"/>
        <v>189893.15712178481</v>
      </c>
      <c r="AR9" s="23">
        <f t="shared" si="1"/>
        <v>198460.51600829003</v>
      </c>
      <c r="AS9" s="23">
        <f t="shared" si="1"/>
        <v>197509.5779441589</v>
      </c>
      <c r="AT9" s="23">
        <f t="shared" si="1"/>
        <v>196165.9225328</v>
      </c>
      <c r="AU9" s="23">
        <f t="shared" si="1"/>
        <v>214933.40100475651</v>
      </c>
      <c r="AV9" s="23">
        <f t="shared" si="1"/>
        <v>223452.75837494759</v>
      </c>
      <c r="AW9" s="23">
        <f t="shared" si="1"/>
        <v>238901.86197080388</v>
      </c>
      <c r="AX9" s="23">
        <f t="shared" si="1"/>
        <v>254935.21262000001</v>
      </c>
      <c r="AY9" s="23">
        <f t="shared" si="1"/>
        <v>260179.91472046857</v>
      </c>
      <c r="AZ9" s="23">
        <f t="shared" si="1"/>
        <v>265891.57891131961</v>
      </c>
      <c r="BA9" s="23">
        <f t="shared" si="1"/>
        <v>282529.78960115381</v>
      </c>
      <c r="BB9" s="23">
        <f t="shared" si="1"/>
        <v>303043.97149009944</v>
      </c>
      <c r="BC9" s="23">
        <f t="shared" si="1"/>
        <v>312132.31413867424</v>
      </c>
      <c r="BD9" s="23">
        <f t="shared" si="1"/>
        <v>315021.83672848064</v>
      </c>
      <c r="BE9" s="23">
        <f t="shared" si="1"/>
        <v>324824.87894664693</v>
      </c>
      <c r="BF9" s="23">
        <f t="shared" si="1"/>
        <v>335200.93939566449</v>
      </c>
      <c r="BG9" s="23">
        <f t="shared" si="1"/>
        <v>350502.05607086245</v>
      </c>
      <c r="BH9" s="23">
        <f t="shared" si="1"/>
        <v>355164.36879911198</v>
      </c>
      <c r="BI9" s="23">
        <f t="shared" si="1"/>
        <v>376965.6247615827</v>
      </c>
      <c r="BJ9" s="23">
        <f t="shared" si="1"/>
        <v>391279.46627724339</v>
      </c>
      <c r="BK9" s="23">
        <f t="shared" si="1"/>
        <v>396416.27093419223</v>
      </c>
      <c r="BL9" s="23">
        <f t="shared" si="1"/>
        <v>402807.56477721216</v>
      </c>
      <c r="BM9" s="23">
        <f t="shared" si="1"/>
        <v>408422.0474746775</v>
      </c>
      <c r="BN9" s="23">
        <f t="shared" si="1"/>
        <v>420167.40322851558</v>
      </c>
      <c r="BO9" s="23">
        <f t="shared" si="1"/>
        <v>425028.13904091122</v>
      </c>
      <c r="BP9" s="23">
        <f t="shared" si="1"/>
        <v>427633.10359677731</v>
      </c>
      <c r="BQ9" s="23">
        <f t="shared" si="1"/>
        <v>423792.52925606654</v>
      </c>
      <c r="BR9" s="23">
        <f t="shared" si="1"/>
        <v>430634.72561556485</v>
      </c>
      <c r="BS9" s="23">
        <f t="shared" si="1"/>
        <v>430867.75483573187</v>
      </c>
      <c r="BT9" s="23">
        <f t="shared" si="1"/>
        <v>426141.71889468771</v>
      </c>
      <c r="BU9" s="23">
        <f t="shared" si="1"/>
        <v>427090.12216028076</v>
      </c>
    </row>
    <row r="10" spans="1:73" x14ac:dyDescent="0.2">
      <c r="A10" t="s">
        <v>0</v>
      </c>
      <c r="B10" s="24">
        <v>1545.2155909999999</v>
      </c>
      <c r="C10" s="24">
        <v>3630.1986879999999</v>
      </c>
      <c r="D10" s="24">
        <v>5790.1182479999998</v>
      </c>
      <c r="E10" s="24">
        <v>5746.5935820000004</v>
      </c>
      <c r="F10" s="24">
        <v>3120</v>
      </c>
      <c r="G10" s="24">
        <v>1582.1230069999999</v>
      </c>
      <c r="H10" s="24">
        <v>4621.3150379999997</v>
      </c>
      <c r="I10" s="24">
        <v>8787.2995019999998</v>
      </c>
      <c r="J10" s="24">
        <v>10761.854915999998</v>
      </c>
      <c r="K10" s="24">
        <v>12730.286043</v>
      </c>
      <c r="L10" s="24">
        <v>14557.137044999999</v>
      </c>
      <c r="M10" s="24">
        <v>19588.115727959997</v>
      </c>
      <c r="N10" s="24">
        <v>23279.032913102001</v>
      </c>
      <c r="O10" s="24">
        <v>25648.525598344</v>
      </c>
      <c r="P10" s="24">
        <v>27619.800470504</v>
      </c>
      <c r="Q10" s="24">
        <v>29981.275472232002</v>
      </c>
      <c r="R10" s="24">
        <v>34240.606203702002</v>
      </c>
      <c r="S10" s="24">
        <v>36193.884092401</v>
      </c>
      <c r="T10" s="24">
        <v>36496.103310056002</v>
      </c>
      <c r="U10" s="24">
        <v>41667.831883721003</v>
      </c>
      <c r="V10" s="24">
        <v>40817.427730333002</v>
      </c>
      <c r="W10" s="24">
        <v>43250.903936658993</v>
      </c>
      <c r="X10" s="24">
        <v>46519.833995403002</v>
      </c>
      <c r="Y10" s="24">
        <v>48076.521074152995</v>
      </c>
      <c r="Z10" s="24">
        <v>66448.208131295105</v>
      </c>
      <c r="AA10" s="24">
        <v>69770.376535115123</v>
      </c>
      <c r="AB10" s="24">
        <v>76107.74332384429</v>
      </c>
      <c r="AC10" s="24">
        <v>76270.662667104567</v>
      </c>
      <c r="AD10" s="24">
        <v>69514.888099382879</v>
      </c>
      <c r="AE10" s="24">
        <v>58214.984051289997</v>
      </c>
      <c r="AF10" s="24">
        <v>39994.121768300007</v>
      </c>
      <c r="AG10" s="24">
        <v>27963.580378940002</v>
      </c>
      <c r="AH10" s="24">
        <v>17827.879587859999</v>
      </c>
      <c r="AI10" s="24">
        <v>8519.3963153099994</v>
      </c>
      <c r="AJ10" s="24">
        <v>4822.1197712399999</v>
      </c>
      <c r="AK10" s="24">
        <v>4913.8390948599999</v>
      </c>
      <c r="AL10" s="24">
        <v>66448.208131295105</v>
      </c>
      <c r="AM10" s="24">
        <v>69770.376535115123</v>
      </c>
      <c r="AN10" s="24">
        <v>76107.74332384429</v>
      </c>
      <c r="AO10" s="24">
        <v>76270.662667104567</v>
      </c>
      <c r="AP10" s="24">
        <v>69514.888099382879</v>
      </c>
      <c r="AQ10" s="24">
        <v>58214.984051289997</v>
      </c>
      <c r="AR10" s="24">
        <v>39994.121768300007</v>
      </c>
      <c r="AS10" s="24">
        <v>27963.580378940002</v>
      </c>
      <c r="AT10" s="24">
        <v>17827.879587859999</v>
      </c>
      <c r="AU10" s="24">
        <v>8519.3963153099994</v>
      </c>
      <c r="AV10" s="24">
        <v>4822.1197712399999</v>
      </c>
      <c r="AW10" s="24">
        <v>4913.8390948599999</v>
      </c>
      <c r="AX10" s="24">
        <v>5007.3050000000003</v>
      </c>
      <c r="AY10" s="24">
        <v>5093.2559064800007</v>
      </c>
      <c r="AZ10" s="24">
        <v>4359.5906633300001</v>
      </c>
      <c r="BA10" s="24">
        <v>8981.2122464900003</v>
      </c>
      <c r="BB10" s="24">
        <v>16219.948091550003</v>
      </c>
      <c r="BC10" s="24">
        <v>25806.013960510001</v>
      </c>
      <c r="BD10" s="24">
        <v>26983.977055720003</v>
      </c>
      <c r="BE10" s="24">
        <v>33976.239324280003</v>
      </c>
      <c r="BF10" s="24">
        <v>37047.617512299999</v>
      </c>
      <c r="BG10" s="24">
        <v>47659.364560000002</v>
      </c>
      <c r="BH10" s="24">
        <v>46773.095797959999</v>
      </c>
      <c r="BI10" s="24">
        <v>39716.560461629997</v>
      </c>
      <c r="BJ10" s="24">
        <v>42790.198618020004</v>
      </c>
      <c r="BK10" s="24">
        <v>47244.245662830006</v>
      </c>
      <c r="BL10" s="24">
        <v>56743.328080120002</v>
      </c>
      <c r="BM10" s="24">
        <v>64720.953969840004</v>
      </c>
      <c r="BN10" s="24">
        <v>61290.239762309997</v>
      </c>
      <c r="BO10" s="24">
        <v>65432.150396030003</v>
      </c>
      <c r="BP10" s="24">
        <v>68607.58168689</v>
      </c>
      <c r="BQ10" s="24">
        <v>72461.365402750002</v>
      </c>
      <c r="BR10" s="24">
        <v>77352.887142089996</v>
      </c>
      <c r="BS10" s="24">
        <v>79521.968664700005</v>
      </c>
      <c r="BT10" s="24">
        <v>74508.454217559993</v>
      </c>
      <c r="BU10" s="24">
        <v>75438.026360909993</v>
      </c>
    </row>
    <row r="11" spans="1:73" x14ac:dyDescent="0.2">
      <c r="A11" t="s">
        <v>12</v>
      </c>
      <c r="B11" s="24">
        <v>8531.6793959999995</v>
      </c>
      <c r="C11" s="24">
        <v>10379.642883999999</v>
      </c>
      <c r="D11" s="24">
        <v>12947.058005000001</v>
      </c>
      <c r="E11" s="24">
        <v>13536.694771</v>
      </c>
      <c r="F11" s="24">
        <v>13766.869000000001</v>
      </c>
      <c r="G11" s="24">
        <v>15888.043</v>
      </c>
      <c r="H11" s="24">
        <v>16517.069500000001</v>
      </c>
      <c r="I11" s="24">
        <v>17140.012999999999</v>
      </c>
      <c r="J11" s="24">
        <v>17698.230500000001</v>
      </c>
      <c r="K11" s="24">
        <v>18233.841</v>
      </c>
      <c r="L11" s="24">
        <v>18746.224999999999</v>
      </c>
      <c r="M11" s="24">
        <v>18460.282500000001</v>
      </c>
      <c r="N11" s="24">
        <v>14216.305</v>
      </c>
      <c r="O11" s="24">
        <v>12211.233</v>
      </c>
      <c r="P11" s="24">
        <v>7089.6705000000002</v>
      </c>
      <c r="Q11" s="24">
        <v>4972.0985000000001</v>
      </c>
      <c r="R11" s="24">
        <v>2121.5250000000001</v>
      </c>
      <c r="S11" s="24">
        <v>0</v>
      </c>
      <c r="T11" s="24">
        <v>0</v>
      </c>
      <c r="U11" s="24">
        <v>0</v>
      </c>
      <c r="V11" s="24">
        <v>0</v>
      </c>
      <c r="W11" s="24">
        <v>0</v>
      </c>
      <c r="X11" s="24">
        <v>0</v>
      </c>
      <c r="Y11" s="24">
        <v>0</v>
      </c>
      <c r="Z11" s="24">
        <v>0</v>
      </c>
      <c r="AA11" s="24">
        <v>0</v>
      </c>
      <c r="AB11" s="24">
        <v>0</v>
      </c>
      <c r="AC11" s="24">
        <v>0</v>
      </c>
      <c r="AD11" s="24">
        <v>0</v>
      </c>
      <c r="AE11" s="24">
        <v>0</v>
      </c>
      <c r="AF11" s="24">
        <v>0</v>
      </c>
      <c r="AG11" s="24">
        <v>0</v>
      </c>
      <c r="AH11" s="24">
        <v>0</v>
      </c>
      <c r="AI11" s="24">
        <v>0</v>
      </c>
      <c r="AJ11" s="24">
        <v>0</v>
      </c>
      <c r="AK11" s="24">
        <v>14913.102563599999</v>
      </c>
      <c r="AL11" s="24">
        <v>15292.957918</v>
      </c>
      <c r="AM11" s="24">
        <v>15618.666238600001</v>
      </c>
      <c r="AN11" s="24">
        <v>15962.3907776</v>
      </c>
      <c r="AO11" s="24">
        <v>14871.834447233694</v>
      </c>
      <c r="AP11" s="24">
        <v>15114.250550725892</v>
      </c>
      <c r="AQ11" s="24">
        <v>33490.000079229998</v>
      </c>
      <c r="AR11" s="24">
        <v>59333.593176679999</v>
      </c>
      <c r="AS11" s="24">
        <v>81519.991266719997</v>
      </c>
      <c r="AT11" s="24">
        <v>89804.353264150006</v>
      </c>
      <c r="AU11" s="24">
        <v>108404.50020365001</v>
      </c>
      <c r="AV11" s="24">
        <v>117860.98177779002</v>
      </c>
      <c r="AW11" s="24">
        <v>128553.29148157001</v>
      </c>
      <c r="AX11" s="24">
        <v>116324.16499999999</v>
      </c>
      <c r="AY11" s="24">
        <v>102915.13685861</v>
      </c>
      <c r="AZ11" s="24">
        <v>99466.580743660001</v>
      </c>
      <c r="BA11" s="24">
        <v>113104.68808284</v>
      </c>
      <c r="BB11" s="24">
        <v>124817.40520374</v>
      </c>
      <c r="BC11" s="24">
        <v>130505.69379215001</v>
      </c>
      <c r="BD11" s="24">
        <v>130254.38472142001</v>
      </c>
      <c r="BE11" s="24">
        <v>128530.53780506</v>
      </c>
      <c r="BF11" s="24">
        <v>134563.86886808</v>
      </c>
      <c r="BG11" s="24">
        <v>143847.03127790999</v>
      </c>
      <c r="BH11" s="24">
        <v>149693.74069732003</v>
      </c>
      <c r="BI11" s="24">
        <v>151128.11852846001</v>
      </c>
      <c r="BJ11" s="24">
        <v>161715.87055078999</v>
      </c>
      <c r="BK11" s="24">
        <v>175934.17174665001</v>
      </c>
      <c r="BL11" s="24">
        <v>189781.60236014004</v>
      </c>
      <c r="BM11" s="24">
        <v>186330.23164427004</v>
      </c>
      <c r="BN11" s="24">
        <v>194760.09883589004</v>
      </c>
      <c r="BO11" s="24">
        <v>206642.71992422</v>
      </c>
      <c r="BP11" s="24">
        <v>206883.06862077999</v>
      </c>
      <c r="BQ11" s="24">
        <v>199262.00488725002</v>
      </c>
      <c r="BR11" s="24">
        <v>202021.70106816999</v>
      </c>
      <c r="BS11" s="24">
        <v>201706.14473931</v>
      </c>
      <c r="BT11" s="24">
        <v>202450.34615955999</v>
      </c>
      <c r="BU11" s="24">
        <v>204850.21704145003</v>
      </c>
    </row>
    <row r="12" spans="1:73" x14ac:dyDescent="0.2">
      <c r="A12" t="s">
        <v>1</v>
      </c>
      <c r="B12" s="24">
        <v>0</v>
      </c>
      <c r="C12" s="24">
        <v>0</v>
      </c>
      <c r="D12" s="24">
        <v>0</v>
      </c>
      <c r="E12" s="24">
        <v>0</v>
      </c>
      <c r="F12" s="24">
        <v>0</v>
      </c>
      <c r="G12" s="24">
        <v>0</v>
      </c>
      <c r="H12" s="24">
        <v>0</v>
      </c>
      <c r="I12" s="24">
        <v>0</v>
      </c>
      <c r="J12" s="24">
        <v>0</v>
      </c>
      <c r="K12" s="24">
        <v>0</v>
      </c>
      <c r="L12" s="24">
        <v>0</v>
      </c>
      <c r="M12" s="24">
        <v>333.4187</v>
      </c>
      <c r="N12" s="24">
        <v>0</v>
      </c>
      <c r="O12" s="24">
        <v>0</v>
      </c>
      <c r="P12" s="24">
        <v>0</v>
      </c>
      <c r="Q12" s="24">
        <v>0</v>
      </c>
      <c r="R12" s="24">
        <v>0</v>
      </c>
      <c r="S12" s="24">
        <v>0</v>
      </c>
      <c r="T12" s="24">
        <v>0</v>
      </c>
      <c r="U12" s="24">
        <v>0</v>
      </c>
      <c r="V12" s="24">
        <v>0</v>
      </c>
      <c r="W12" s="24">
        <v>0</v>
      </c>
      <c r="X12" s="24">
        <v>0</v>
      </c>
      <c r="Y12" s="24">
        <v>8.5851699999999997</v>
      </c>
      <c r="Z12" s="24">
        <v>0</v>
      </c>
      <c r="AA12" s="24">
        <v>0</v>
      </c>
      <c r="AB12" s="24">
        <v>0</v>
      </c>
      <c r="AC12" s="24">
        <v>0</v>
      </c>
      <c r="AD12" s="24">
        <v>0</v>
      </c>
      <c r="AE12" s="24">
        <v>0</v>
      </c>
      <c r="AF12" s="24">
        <v>0</v>
      </c>
      <c r="AG12" s="24">
        <v>0</v>
      </c>
      <c r="AH12" s="24">
        <v>0</v>
      </c>
      <c r="AI12" s="24">
        <v>0</v>
      </c>
      <c r="AJ12" s="24">
        <v>0</v>
      </c>
      <c r="AK12" s="24">
        <v>0</v>
      </c>
      <c r="AL12" s="24">
        <v>0</v>
      </c>
      <c r="AM12" s="24">
        <v>0</v>
      </c>
      <c r="AN12" s="24">
        <v>0</v>
      </c>
      <c r="AO12" s="24">
        <v>0</v>
      </c>
      <c r="AP12" s="24">
        <v>0</v>
      </c>
      <c r="AQ12" s="24">
        <v>0</v>
      </c>
      <c r="AR12" s="24">
        <v>0</v>
      </c>
      <c r="AS12" s="24">
        <v>0</v>
      </c>
      <c r="AT12" s="24">
        <v>0</v>
      </c>
      <c r="AU12" s="24">
        <v>0</v>
      </c>
      <c r="AV12" s="24">
        <v>0</v>
      </c>
      <c r="AW12" s="24">
        <v>0</v>
      </c>
      <c r="AX12" s="24">
        <v>0</v>
      </c>
      <c r="AY12" s="24">
        <v>0</v>
      </c>
      <c r="AZ12" s="24">
        <v>0</v>
      </c>
      <c r="BA12" s="24">
        <v>0</v>
      </c>
      <c r="BB12" s="24">
        <v>0</v>
      </c>
      <c r="BC12" s="24">
        <v>0</v>
      </c>
      <c r="BD12" s="24">
        <v>0</v>
      </c>
      <c r="BE12" s="24">
        <v>0</v>
      </c>
      <c r="BF12" s="24">
        <v>0</v>
      </c>
      <c r="BG12" s="24">
        <v>0</v>
      </c>
      <c r="BH12" s="24">
        <v>0</v>
      </c>
      <c r="BI12" s="24">
        <v>830.60273737999989</v>
      </c>
      <c r="BJ12" s="24">
        <v>850.48248390999993</v>
      </c>
      <c r="BK12" s="24">
        <v>1720.4370748900001</v>
      </c>
      <c r="BL12" s="24">
        <v>2603.20604271</v>
      </c>
      <c r="BM12" s="24">
        <v>4301.2894519699994</v>
      </c>
      <c r="BN12" s="24">
        <v>4406.6433359800012</v>
      </c>
      <c r="BO12" s="24">
        <v>4335.6431251600006</v>
      </c>
      <c r="BP12" s="24">
        <v>4641.0699551200005</v>
      </c>
      <c r="BQ12" s="24">
        <v>5343.5576163900005</v>
      </c>
      <c r="BR12" s="24">
        <v>5913.4731929400004</v>
      </c>
      <c r="BS12" s="24">
        <v>6453.9903429599999</v>
      </c>
      <c r="BT12" s="24">
        <v>6805.3255657099999</v>
      </c>
      <c r="BU12" s="24">
        <v>7022.4584064800001</v>
      </c>
    </row>
    <row r="13" spans="1:73" x14ac:dyDescent="0.2">
      <c r="A13" t="s">
        <v>2</v>
      </c>
      <c r="B13" s="24">
        <v>4730.1085300000004</v>
      </c>
      <c r="C13" s="24">
        <v>5407.9416960000008</v>
      </c>
      <c r="D13" s="24">
        <v>3433.494342</v>
      </c>
      <c r="E13" s="24">
        <v>2701.0760829999999</v>
      </c>
      <c r="F13" s="24">
        <v>2422.0628091484282</v>
      </c>
      <c r="G13" s="24">
        <v>4980.1155696898095</v>
      </c>
      <c r="H13" s="24">
        <v>4886.7248616279676</v>
      </c>
      <c r="I13" s="24">
        <v>5237.327051849853</v>
      </c>
      <c r="J13" s="24">
        <v>5543.815638102632</v>
      </c>
      <c r="K13" s="24">
        <v>5846.5323639815297</v>
      </c>
      <c r="L13" s="24">
        <v>5786.2679006178178</v>
      </c>
      <c r="M13" s="24">
        <v>3918.59795769231</v>
      </c>
      <c r="N13" s="24">
        <v>3614.7183308838585</v>
      </c>
      <c r="O13" s="24">
        <v>4375.277314388708</v>
      </c>
      <c r="P13" s="24">
        <v>5481.6853179081645</v>
      </c>
      <c r="Q13" s="24">
        <v>6594.5529313478464</v>
      </c>
      <c r="R13" s="24">
        <v>7442.7051773853391</v>
      </c>
      <c r="S13" s="24">
        <v>7943.0936026065601</v>
      </c>
      <c r="T13" s="24">
        <v>8140.6978173515063</v>
      </c>
      <c r="U13" s="24">
        <v>8290.5806027462841</v>
      </c>
      <c r="V13" s="24">
        <v>8719.0285223452956</v>
      </c>
      <c r="W13" s="24">
        <v>9393.3195304091896</v>
      </c>
      <c r="X13" s="24">
        <v>11535.905154007289</v>
      </c>
      <c r="Y13" s="24">
        <v>12443.255846162971</v>
      </c>
      <c r="Z13" s="24">
        <v>21926.730497942412</v>
      </c>
      <c r="AA13" s="24">
        <v>22219.500455278965</v>
      </c>
      <c r="AB13" s="24">
        <v>22174.359449464508</v>
      </c>
      <c r="AC13" s="24">
        <v>22310.128050825533</v>
      </c>
      <c r="AD13" s="24">
        <v>22337.470116980789</v>
      </c>
      <c r="AE13" s="24">
        <v>22990.11207023</v>
      </c>
      <c r="AF13" s="24">
        <v>23585.067642220001</v>
      </c>
      <c r="AG13" s="24">
        <v>24425.256488619998</v>
      </c>
      <c r="AH13" s="24">
        <v>24665.624443459998</v>
      </c>
      <c r="AI13" s="24">
        <v>24636.82268786319</v>
      </c>
      <c r="AJ13" s="24">
        <v>24489.864104665223</v>
      </c>
      <c r="AK13" s="24">
        <v>24187.203851884587</v>
      </c>
      <c r="AL13" s="24">
        <v>21926.730497942412</v>
      </c>
      <c r="AM13" s="24">
        <v>22219.500455278965</v>
      </c>
      <c r="AN13" s="24">
        <v>22174.359449464508</v>
      </c>
      <c r="AO13" s="24">
        <v>22310.128050825533</v>
      </c>
      <c r="AP13" s="24">
        <v>22337.470116980789</v>
      </c>
      <c r="AQ13" s="24">
        <v>22990.11207023</v>
      </c>
      <c r="AR13" s="24">
        <v>23585.067642220001</v>
      </c>
      <c r="AS13" s="24">
        <v>24425.256488619998</v>
      </c>
      <c r="AT13" s="24">
        <v>24665.624443459998</v>
      </c>
      <c r="AU13" s="24">
        <v>24636.82268786319</v>
      </c>
      <c r="AV13" s="24">
        <v>24489.864104665223</v>
      </c>
      <c r="AW13" s="24">
        <v>24187.203851884587</v>
      </c>
      <c r="AX13" s="24">
        <v>38897.017</v>
      </c>
      <c r="AY13" s="24">
        <v>39997.11300514522</v>
      </c>
      <c r="AZ13" s="24">
        <v>32393.70491808487</v>
      </c>
      <c r="BA13" s="24">
        <v>30129.516974184084</v>
      </c>
      <c r="BB13" s="24">
        <v>29967.560620967386</v>
      </c>
      <c r="BC13" s="24">
        <v>28921.913638707803</v>
      </c>
      <c r="BD13" s="24">
        <v>27726.100476115636</v>
      </c>
      <c r="BE13" s="24">
        <v>29158.130556099131</v>
      </c>
      <c r="BF13" s="24">
        <v>29362.122689546086</v>
      </c>
      <c r="BG13" s="24">
        <v>30143.917095209879</v>
      </c>
      <c r="BH13" s="24">
        <v>29775.822849788205</v>
      </c>
      <c r="BI13" s="24">
        <v>27346.057810804065</v>
      </c>
      <c r="BJ13" s="24">
        <v>27706.376477802718</v>
      </c>
      <c r="BK13" s="24">
        <v>27027.395271371235</v>
      </c>
      <c r="BL13" s="24">
        <v>25790.417782157507</v>
      </c>
      <c r="BM13" s="24">
        <v>25398.552027286398</v>
      </c>
      <c r="BN13" s="24">
        <v>24966.644666335353</v>
      </c>
      <c r="BO13" s="24">
        <v>23811.235423492373</v>
      </c>
      <c r="BP13" s="24">
        <v>22743.092816108227</v>
      </c>
      <c r="BQ13" s="24">
        <v>22170.305888353469</v>
      </c>
      <c r="BR13" s="24">
        <v>20486.882494555761</v>
      </c>
      <c r="BS13" s="24">
        <v>19733.822479800787</v>
      </c>
      <c r="BT13" s="24">
        <v>18058.097696805493</v>
      </c>
      <c r="BU13" s="24">
        <v>15000.477114708601</v>
      </c>
    </row>
    <row r="14" spans="1:73" x14ac:dyDescent="0.2">
      <c r="A14" t="s">
        <v>14</v>
      </c>
      <c r="B14" s="25" t="s">
        <v>17</v>
      </c>
      <c r="C14" s="25" t="s">
        <v>17</v>
      </c>
      <c r="D14" s="25" t="s">
        <v>17</v>
      </c>
      <c r="E14" s="25" t="s">
        <v>17</v>
      </c>
      <c r="F14" s="25" t="s">
        <v>17</v>
      </c>
      <c r="G14" s="25" t="s">
        <v>17</v>
      </c>
      <c r="H14" s="25" t="s">
        <v>17</v>
      </c>
      <c r="I14" s="25" t="s">
        <v>17</v>
      </c>
      <c r="J14" s="25" t="s">
        <v>17</v>
      </c>
      <c r="K14" s="25" t="s">
        <v>17</v>
      </c>
      <c r="L14" s="25" t="s">
        <v>17</v>
      </c>
      <c r="M14" s="25" t="s">
        <v>17</v>
      </c>
      <c r="N14" s="25" t="s">
        <v>17</v>
      </c>
      <c r="O14" s="25" t="s">
        <v>17</v>
      </c>
      <c r="P14" s="25" t="s">
        <v>17</v>
      </c>
      <c r="Q14" s="25" t="s">
        <v>17</v>
      </c>
      <c r="R14" s="25" t="s">
        <v>17</v>
      </c>
      <c r="S14" s="25" t="s">
        <v>17</v>
      </c>
      <c r="T14" s="25" t="s">
        <v>17</v>
      </c>
      <c r="U14" s="25" t="s">
        <v>17</v>
      </c>
      <c r="V14" s="25" t="s">
        <v>17</v>
      </c>
      <c r="W14" s="25" t="s">
        <v>17</v>
      </c>
      <c r="X14" s="24">
        <v>58055.739149410292</v>
      </c>
      <c r="Y14" s="24">
        <v>60528.362090315968</v>
      </c>
      <c r="Z14" s="24">
        <v>10287.566999999999</v>
      </c>
      <c r="AA14" s="24">
        <v>10528.119000000001</v>
      </c>
      <c r="AB14" s="24">
        <v>10476.012000000001</v>
      </c>
      <c r="AC14" s="24">
        <v>10634.467000000001</v>
      </c>
      <c r="AD14" s="24">
        <v>10659.121999999999</v>
      </c>
      <c r="AE14" s="24">
        <v>11176.741</v>
      </c>
      <c r="AF14" s="24">
        <v>11226.1</v>
      </c>
      <c r="AG14" s="24">
        <v>11199.96</v>
      </c>
      <c r="AH14" s="24">
        <v>11281.452759999998</v>
      </c>
      <c r="AI14" s="24">
        <v>12553.182999999997</v>
      </c>
      <c r="AJ14" s="24">
        <v>12569.338629999998</v>
      </c>
      <c r="AK14" s="24">
        <v>15284.017530000005</v>
      </c>
      <c r="AL14" s="24">
        <v>17978.184549999998</v>
      </c>
      <c r="AM14" s="24">
        <v>18135.821189999991</v>
      </c>
      <c r="AN14" s="24">
        <v>18177.042730000001</v>
      </c>
      <c r="AO14" s="24">
        <v>21273.840029999996</v>
      </c>
      <c r="AP14" s="24">
        <v>21194.167110000002</v>
      </c>
      <c r="AQ14" s="24">
        <v>21488.482660000001</v>
      </c>
      <c r="AR14" s="24">
        <v>21713.349519999996</v>
      </c>
      <c r="AS14" s="24">
        <v>21956.302419999996</v>
      </c>
      <c r="AT14" s="24">
        <v>22095.050669999993</v>
      </c>
      <c r="AU14" s="24">
        <v>20692.174059999998</v>
      </c>
      <c r="AV14" s="24">
        <v>24059.348180000008</v>
      </c>
      <c r="AW14" s="24">
        <v>24516.796650000011</v>
      </c>
      <c r="AX14" s="24">
        <v>24841.327619999993</v>
      </c>
      <c r="AY14" s="24">
        <v>25101.420620000004</v>
      </c>
      <c r="AZ14" s="24">
        <v>25769.447909999995</v>
      </c>
      <c r="BA14" s="24">
        <v>26350.314649999993</v>
      </c>
      <c r="BB14" s="24">
        <v>26377.363868160006</v>
      </c>
      <c r="BC14" s="24">
        <v>27434.679030000007</v>
      </c>
      <c r="BD14" s="24">
        <v>27635.863669999995</v>
      </c>
      <c r="BE14" s="24">
        <v>28685.270690000019</v>
      </c>
      <c r="BF14" s="24">
        <v>28910.684022040004</v>
      </c>
      <c r="BG14" s="24">
        <v>27834.791846580018</v>
      </c>
      <c r="BH14" s="24">
        <v>28166.314783159993</v>
      </c>
      <c r="BI14" s="24">
        <v>29683.500438579995</v>
      </c>
      <c r="BJ14" s="24">
        <v>33157.552710819997</v>
      </c>
      <c r="BK14" s="24">
        <v>33168.319491000002</v>
      </c>
      <c r="BL14" s="24">
        <v>32159.875015170001</v>
      </c>
      <c r="BM14" s="24">
        <v>31654.012403270026</v>
      </c>
      <c r="BN14" s="24">
        <v>31645.95868095</v>
      </c>
      <c r="BO14" s="24">
        <v>31773.225861359992</v>
      </c>
      <c r="BP14" s="24">
        <v>32223.164836950011</v>
      </c>
      <c r="BQ14" s="24">
        <v>28071.319760309998</v>
      </c>
      <c r="BR14" s="24">
        <v>27853.893950999991</v>
      </c>
      <c r="BS14" s="24">
        <v>25693.538010000004</v>
      </c>
      <c r="BT14" s="24">
        <v>25527.872434370005</v>
      </c>
      <c r="BU14" s="24">
        <v>25512.373298890001</v>
      </c>
    </row>
    <row r="15" spans="1:73" x14ac:dyDescent="0.2">
      <c r="A15" t="s">
        <v>3</v>
      </c>
      <c r="B15" s="25" t="s">
        <v>17</v>
      </c>
      <c r="C15" s="25" t="s">
        <v>17</v>
      </c>
      <c r="D15" s="25" t="s">
        <v>17</v>
      </c>
      <c r="E15" s="25" t="s">
        <v>17</v>
      </c>
      <c r="F15" s="25" t="s">
        <v>17</v>
      </c>
      <c r="G15" s="25" t="s">
        <v>17</v>
      </c>
      <c r="H15" s="25" t="s">
        <v>17</v>
      </c>
      <c r="I15" s="25" t="s">
        <v>17</v>
      </c>
      <c r="J15" s="25" t="s">
        <v>17</v>
      </c>
      <c r="K15" s="25" t="s">
        <v>17</v>
      </c>
      <c r="L15" s="25" t="s">
        <v>17</v>
      </c>
      <c r="M15" s="25" t="s">
        <v>17</v>
      </c>
      <c r="N15" s="25" t="s">
        <v>17</v>
      </c>
      <c r="O15" s="25" t="s">
        <v>17</v>
      </c>
      <c r="P15" s="25" t="s">
        <v>17</v>
      </c>
      <c r="Q15" s="25" t="s">
        <v>17</v>
      </c>
      <c r="R15" s="25" t="s">
        <v>17</v>
      </c>
      <c r="S15" s="25" t="s">
        <v>17</v>
      </c>
      <c r="T15" s="25" t="s">
        <v>17</v>
      </c>
      <c r="U15" s="25" t="s">
        <v>17</v>
      </c>
      <c r="V15" s="25" t="s">
        <v>17</v>
      </c>
      <c r="W15" s="25" t="s">
        <v>17</v>
      </c>
      <c r="X15" s="24">
        <v>2449.5659999999998</v>
      </c>
      <c r="Y15" s="24">
        <v>2470.1179999999999</v>
      </c>
      <c r="Z15" s="24">
        <v>2520.9989999999998</v>
      </c>
      <c r="AA15" s="24">
        <v>2579.712</v>
      </c>
      <c r="AB15" s="24">
        <v>2645.3029999999999</v>
      </c>
      <c r="AC15" s="24">
        <v>2672.7739999999999</v>
      </c>
      <c r="AD15" s="24">
        <v>2730.9969999999998</v>
      </c>
      <c r="AE15" s="24">
        <v>2763.0459999999998</v>
      </c>
      <c r="AF15" s="24">
        <v>2785.93</v>
      </c>
      <c r="AG15" s="24">
        <v>2885.1149999999998</v>
      </c>
      <c r="AH15" s="24">
        <v>2273.9828000000002</v>
      </c>
      <c r="AI15" s="24">
        <v>2355.7875700000004</v>
      </c>
      <c r="AJ15" s="24">
        <v>2498.9770099999996</v>
      </c>
      <c r="AK15" s="24">
        <v>2495.0781100000004</v>
      </c>
      <c r="AL15" s="24">
        <v>2594.0083500000001</v>
      </c>
      <c r="AM15" s="24">
        <v>2628.3982299999998</v>
      </c>
      <c r="AN15" s="24">
        <v>2666.9989899999996</v>
      </c>
      <c r="AO15" s="24">
        <v>2661.06628</v>
      </c>
      <c r="AP15" s="24">
        <v>2698.63004</v>
      </c>
      <c r="AQ15" s="24">
        <v>2741.3454499999998</v>
      </c>
      <c r="AR15" s="24">
        <v>2756.73326</v>
      </c>
      <c r="AS15" s="24">
        <v>2787.2814600000002</v>
      </c>
      <c r="AT15" s="24">
        <v>2828.2600600000001</v>
      </c>
      <c r="AU15" s="24">
        <v>2919.3958000000002</v>
      </c>
      <c r="AV15" s="24">
        <v>2933.4980299999997</v>
      </c>
      <c r="AW15" s="24">
        <v>3059.6813400000001</v>
      </c>
      <c r="AX15" s="24">
        <v>3094.0119900000004</v>
      </c>
      <c r="AY15" s="24">
        <v>3116.7837100000002</v>
      </c>
      <c r="AZ15" s="24">
        <v>3122.2213899999997</v>
      </c>
      <c r="BA15" s="24">
        <v>3123.2325700000001</v>
      </c>
      <c r="BB15" s="24">
        <v>3181.0875799999999</v>
      </c>
      <c r="BC15" s="24">
        <v>3131.6199100000003</v>
      </c>
      <c r="BD15" s="24">
        <v>3183.6280200000001</v>
      </c>
      <c r="BE15" s="24">
        <v>3174.0388399999997</v>
      </c>
      <c r="BF15" s="24">
        <v>3150.7985199999998</v>
      </c>
      <c r="BG15" s="24">
        <v>3229.7840000000001</v>
      </c>
      <c r="BH15" s="24">
        <v>3261.0479999999998</v>
      </c>
      <c r="BI15" s="24">
        <v>3153.95064</v>
      </c>
      <c r="BJ15" s="24">
        <v>3118.18804</v>
      </c>
      <c r="BK15" s="24">
        <v>3106.3940299999999</v>
      </c>
      <c r="BL15" s="24">
        <v>3101.3940299999999</v>
      </c>
      <c r="BM15" s="24">
        <v>3065.3870000000002</v>
      </c>
      <c r="BN15" s="24">
        <v>3096.0360000000001</v>
      </c>
      <c r="BO15" s="24">
        <v>2766.6460000000002</v>
      </c>
      <c r="BP15" s="24">
        <v>2766.6460000000002</v>
      </c>
      <c r="BQ15" s="24">
        <v>2731.6837458600003</v>
      </c>
      <c r="BR15" s="24">
        <v>2707.8223269999999</v>
      </c>
      <c r="BS15" s="24">
        <v>2638.3047700000002</v>
      </c>
      <c r="BT15" s="24">
        <v>2610.1655318999997</v>
      </c>
      <c r="BU15" s="24">
        <v>2550.9335300099997</v>
      </c>
    </row>
    <row r="16" spans="1:73" x14ac:dyDescent="0.2">
      <c r="A16" t="s">
        <v>4</v>
      </c>
      <c r="B16" s="24">
        <v>16861.099612000002</v>
      </c>
      <c r="C16" s="24">
        <v>14418.408944999999</v>
      </c>
      <c r="D16" s="24">
        <v>13000.154935999995</v>
      </c>
      <c r="E16" s="24">
        <v>16074.078023385015</v>
      </c>
      <c r="F16" s="24">
        <v>20932.738658942479</v>
      </c>
      <c r="G16" s="24">
        <v>21420.08740888293</v>
      </c>
      <c r="H16" s="24">
        <v>16989.480803457453</v>
      </c>
      <c r="I16" s="24">
        <v>12756.330453454304</v>
      </c>
      <c r="J16" s="24">
        <v>12517.042446158339</v>
      </c>
      <c r="K16" s="24">
        <v>10987.347475546747</v>
      </c>
      <c r="L16" s="24">
        <v>10309.266214425972</v>
      </c>
      <c r="M16" s="24">
        <v>11501.886737630311</v>
      </c>
      <c r="N16" s="24">
        <v>12315.257614748301</v>
      </c>
      <c r="O16" s="24">
        <v>13587.181280059416</v>
      </c>
      <c r="P16" s="24">
        <v>16300.594069337387</v>
      </c>
      <c r="Q16" s="24">
        <v>17612.954532603544</v>
      </c>
      <c r="R16" s="24">
        <v>24701.617906260781</v>
      </c>
      <c r="S16" s="24">
        <v>25364.782202835475</v>
      </c>
      <c r="T16" s="24">
        <v>25513.272564811334</v>
      </c>
      <c r="U16" s="24">
        <v>25910.52367961617</v>
      </c>
      <c r="V16" s="24">
        <v>25528.776695385015</v>
      </c>
      <c r="W16" s="24">
        <v>25554.629884671212</v>
      </c>
      <c r="X16" s="24">
        <v>23283.167399167378</v>
      </c>
      <c r="Y16" s="24">
        <v>23560.579009811474</v>
      </c>
      <c r="Z16" s="24">
        <v>53455.644295752754</v>
      </c>
      <c r="AA16" s="24">
        <v>52890.416805390436</v>
      </c>
      <c r="AB16" s="24">
        <v>50194.908954195598</v>
      </c>
      <c r="AC16" s="24">
        <v>47876.368616725638</v>
      </c>
      <c r="AD16" s="24">
        <v>49454.854779893147</v>
      </c>
      <c r="AE16" s="24">
        <v>53709.57826103484</v>
      </c>
      <c r="AF16" s="24">
        <v>53834.383901090012</v>
      </c>
      <c r="AG16" s="24">
        <v>41644.447389878915</v>
      </c>
      <c r="AH16" s="24">
        <v>41773.014567330021</v>
      </c>
      <c r="AI16" s="24">
        <v>52680.507737933302</v>
      </c>
      <c r="AJ16" s="24">
        <v>52220.444541252335</v>
      </c>
      <c r="AK16" s="24">
        <v>56730.730892489257</v>
      </c>
      <c r="AL16" s="24">
        <v>50861.635945752758</v>
      </c>
      <c r="AM16" s="24">
        <v>50262.018575390437</v>
      </c>
      <c r="AN16" s="24">
        <v>47527.909964195591</v>
      </c>
      <c r="AO16" s="24">
        <v>45215.302336725639</v>
      </c>
      <c r="AP16" s="24">
        <v>46756.224739893143</v>
      </c>
      <c r="AQ16" s="24">
        <v>50968.232811034839</v>
      </c>
      <c r="AR16" s="24">
        <v>51077.650641090011</v>
      </c>
      <c r="AS16" s="24">
        <v>38857.165929878916</v>
      </c>
      <c r="AT16" s="24">
        <v>38944.754507329999</v>
      </c>
      <c r="AU16" s="24">
        <v>49761.11193793331</v>
      </c>
      <c r="AV16" s="24">
        <v>49286.946511252347</v>
      </c>
      <c r="AW16" s="24">
        <v>53671.049552489269</v>
      </c>
      <c r="AX16" s="24">
        <v>66771.386010000002</v>
      </c>
      <c r="AY16" s="24">
        <v>83956.204620233402</v>
      </c>
      <c r="AZ16" s="24">
        <v>100780.03328624475</v>
      </c>
      <c r="BA16" s="24">
        <v>100840.82507763973</v>
      </c>
      <c r="BB16" s="24">
        <v>102480.60612568204</v>
      </c>
      <c r="BC16" s="24">
        <v>96332.393807306406</v>
      </c>
      <c r="BD16" s="24">
        <v>99237.882785224996</v>
      </c>
      <c r="BE16" s="24">
        <v>101300.6617312078</v>
      </c>
      <c r="BF16" s="24">
        <v>102165.84778369842</v>
      </c>
      <c r="BG16" s="24">
        <v>97787.167291162506</v>
      </c>
      <c r="BH16" s="24">
        <v>97494.346670883737</v>
      </c>
      <c r="BI16" s="24">
        <v>125106.83414472865</v>
      </c>
      <c r="BJ16" s="24">
        <v>121940.79739590071</v>
      </c>
      <c r="BK16" s="24">
        <v>108215.30765745096</v>
      </c>
      <c r="BL16" s="24">
        <v>92627.741466914595</v>
      </c>
      <c r="BM16" s="24">
        <v>92951.620978041028</v>
      </c>
      <c r="BN16" s="24">
        <v>100001.78194705019</v>
      </c>
      <c r="BO16" s="24">
        <v>90266.518310648869</v>
      </c>
      <c r="BP16" s="24">
        <v>89768.479680929042</v>
      </c>
      <c r="BQ16" s="24">
        <v>93752.291955153138</v>
      </c>
      <c r="BR16" s="24">
        <v>94298.065439809143</v>
      </c>
      <c r="BS16" s="24">
        <v>95119.985828961057</v>
      </c>
      <c r="BT16" s="24">
        <v>96181.457288782258</v>
      </c>
      <c r="BU16" s="24">
        <v>96715.636407832091</v>
      </c>
    </row>
    <row r="17" spans="1:78" x14ac:dyDescent="0.2">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row>
    <row r="18" spans="1:78" ht="13.5" thickBot="1" x14ac:dyDescent="0.25">
      <c r="A18" s="2" t="s">
        <v>11</v>
      </c>
      <c r="B18" s="26" t="s">
        <v>17</v>
      </c>
      <c r="C18" s="26" t="s">
        <v>17</v>
      </c>
      <c r="D18" s="26" t="s">
        <v>17</v>
      </c>
      <c r="E18" s="26" t="s">
        <v>17</v>
      </c>
      <c r="F18" s="26" t="s">
        <v>17</v>
      </c>
      <c r="G18" s="26" t="s">
        <v>17</v>
      </c>
      <c r="H18" s="26" t="s">
        <v>17</v>
      </c>
      <c r="I18" s="26" t="s">
        <v>17</v>
      </c>
      <c r="J18" s="26" t="s">
        <v>17</v>
      </c>
      <c r="K18" s="26" t="s">
        <v>17</v>
      </c>
      <c r="L18" s="26" t="s">
        <v>17</v>
      </c>
      <c r="M18" s="26" t="s">
        <v>17</v>
      </c>
      <c r="N18" s="26" t="s">
        <v>17</v>
      </c>
      <c r="O18" s="26" t="s">
        <v>17</v>
      </c>
      <c r="P18" s="26" t="s">
        <v>17</v>
      </c>
      <c r="Q18" s="26" t="s">
        <v>17</v>
      </c>
      <c r="R18" s="26" t="s">
        <v>17</v>
      </c>
      <c r="S18" s="26" t="s">
        <v>17</v>
      </c>
      <c r="T18" s="26" t="s">
        <v>17</v>
      </c>
      <c r="U18" s="26" t="s">
        <v>17</v>
      </c>
      <c r="V18" s="26" t="s">
        <v>17</v>
      </c>
      <c r="W18" s="26" t="s">
        <v>17</v>
      </c>
      <c r="X18" s="26" t="s">
        <v>17</v>
      </c>
      <c r="Y18" s="26" t="s">
        <v>17</v>
      </c>
      <c r="Z18" s="27">
        <f>Z19+Z20+Z21+Z22</f>
        <v>74414.74599222526</v>
      </c>
      <c r="AA18" s="27">
        <f t="shared" ref="AA18:BU18" si="2">AA19+AA20+AA21+AA22</f>
        <v>75366.657666486251</v>
      </c>
      <c r="AB18" s="27">
        <f t="shared" si="2"/>
        <v>76411.860678765894</v>
      </c>
      <c r="AC18" s="27">
        <f t="shared" si="2"/>
        <v>78464.427268699495</v>
      </c>
      <c r="AD18" s="27">
        <f t="shared" si="2"/>
        <v>78634.614517405134</v>
      </c>
      <c r="AE18" s="27">
        <f t="shared" si="2"/>
        <v>79029.609940054681</v>
      </c>
      <c r="AF18" s="27">
        <f t="shared" si="2"/>
        <v>78804.925817603886</v>
      </c>
      <c r="AG18" s="27">
        <f t="shared" si="2"/>
        <v>79100.398364662775</v>
      </c>
      <c r="AH18" s="27">
        <f t="shared" si="2"/>
        <v>80034.988819621474</v>
      </c>
      <c r="AI18" s="27">
        <f t="shared" si="2"/>
        <v>80541.109777628124</v>
      </c>
      <c r="AJ18" s="27">
        <f t="shared" si="2"/>
        <v>80644.035243944643</v>
      </c>
      <c r="AK18" s="27">
        <f t="shared" si="2"/>
        <v>72909.612592520163</v>
      </c>
      <c r="AL18" s="27">
        <f t="shared" si="2"/>
        <v>73393.670716215565</v>
      </c>
      <c r="AM18" s="27">
        <f t="shared" si="2"/>
        <v>74338.204727826582</v>
      </c>
      <c r="AN18" s="27">
        <f t="shared" si="2"/>
        <v>75047.333317487122</v>
      </c>
      <c r="AO18" s="27">
        <f t="shared" si="2"/>
        <v>77079.349064420763</v>
      </c>
      <c r="AP18" s="27">
        <f t="shared" si="2"/>
        <v>77464.062465104624</v>
      </c>
      <c r="AQ18" s="27">
        <f t="shared" si="2"/>
        <v>77446.898048841729</v>
      </c>
      <c r="AR18" s="27">
        <f t="shared" si="2"/>
        <v>76937.290488202532</v>
      </c>
      <c r="AS18" s="27">
        <f t="shared" si="2"/>
        <v>78550.224204258047</v>
      </c>
      <c r="AT18" s="27">
        <f t="shared" si="2"/>
        <v>79722.081312552429</v>
      </c>
      <c r="AU18" s="27">
        <f t="shared" si="2"/>
        <v>80727.624776784956</v>
      </c>
      <c r="AV18" s="27">
        <f t="shared" si="2"/>
        <v>80660.653514340884</v>
      </c>
      <c r="AW18" s="27">
        <f t="shared" si="2"/>
        <v>81431.054533799994</v>
      </c>
      <c r="AX18" s="27">
        <f t="shared" si="2"/>
        <v>131301.43856850138</v>
      </c>
      <c r="AY18" s="27">
        <f t="shared" si="2"/>
        <v>136076.3946416</v>
      </c>
      <c r="AZ18" s="27">
        <f t="shared" si="2"/>
        <v>114701.009682</v>
      </c>
      <c r="BA18" s="27">
        <f t="shared" si="2"/>
        <v>112877.72751829999</v>
      </c>
      <c r="BB18" s="27">
        <f t="shared" si="2"/>
        <v>116016.03038331901</v>
      </c>
      <c r="BC18" s="27">
        <f t="shared" si="2"/>
        <v>116865.82228210627</v>
      </c>
      <c r="BD18" s="27">
        <f t="shared" si="2"/>
        <v>120378.01218172882</v>
      </c>
      <c r="BE18" s="27">
        <f t="shared" si="2"/>
        <v>128518.26580153254</v>
      </c>
      <c r="BF18" s="27">
        <f t="shared" si="2"/>
        <v>130214.88027876035</v>
      </c>
      <c r="BG18" s="27">
        <f t="shared" si="2"/>
        <v>129971.44624760162</v>
      </c>
      <c r="BH18" s="27">
        <f t="shared" si="2"/>
        <v>132009.0975200535</v>
      </c>
      <c r="BI18" s="27">
        <f t="shared" si="2"/>
        <v>122088.18769468804</v>
      </c>
      <c r="BJ18" s="27">
        <f t="shared" si="2"/>
        <v>122828.63223839999</v>
      </c>
      <c r="BK18" s="27">
        <f t="shared" si="2"/>
        <v>121302.79865817317</v>
      </c>
      <c r="BL18" s="27">
        <f t="shared" si="2"/>
        <v>122374.23845798674</v>
      </c>
      <c r="BM18" s="27">
        <f t="shared" si="2"/>
        <v>130767.7246708</v>
      </c>
      <c r="BN18" s="27">
        <f t="shared" si="2"/>
        <v>132330.8298714</v>
      </c>
      <c r="BO18" s="27">
        <f t="shared" si="2"/>
        <v>129792.44520000002</v>
      </c>
      <c r="BP18" s="27">
        <f t="shared" si="2"/>
        <v>130189.1353236</v>
      </c>
      <c r="BQ18" s="27">
        <f t="shared" si="2"/>
        <v>133173.20603339997</v>
      </c>
      <c r="BR18" s="27">
        <f t="shared" si="2"/>
        <v>133877.74041249999</v>
      </c>
      <c r="BS18" s="27">
        <f t="shared" si="2"/>
        <v>138450.614436</v>
      </c>
      <c r="BT18" s="27">
        <f t="shared" si="2"/>
        <v>141524.19517560001</v>
      </c>
      <c r="BU18" s="27">
        <f t="shared" si="2"/>
        <v>142794.01968120004</v>
      </c>
      <c r="BV18" s="8"/>
    </row>
    <row r="19" spans="1:78" x14ac:dyDescent="0.2">
      <c r="A19" t="s">
        <v>5</v>
      </c>
      <c r="B19" s="25" t="s">
        <v>17</v>
      </c>
      <c r="C19" s="25" t="s">
        <v>17</v>
      </c>
      <c r="D19" s="25" t="s">
        <v>17</v>
      </c>
      <c r="E19" s="25" t="s">
        <v>17</v>
      </c>
      <c r="F19" s="25" t="s">
        <v>17</v>
      </c>
      <c r="G19" s="25" t="s">
        <v>17</v>
      </c>
      <c r="H19" s="25" t="s">
        <v>17</v>
      </c>
      <c r="I19" s="25" t="s">
        <v>17</v>
      </c>
      <c r="J19" s="25" t="s">
        <v>17</v>
      </c>
      <c r="K19" s="25" t="s">
        <v>17</v>
      </c>
      <c r="L19" s="25" t="s">
        <v>17</v>
      </c>
      <c r="M19" s="25" t="s">
        <v>17</v>
      </c>
      <c r="N19" s="25" t="s">
        <v>17</v>
      </c>
      <c r="O19" s="25" t="s">
        <v>17</v>
      </c>
      <c r="P19" s="25" t="s">
        <v>17</v>
      </c>
      <c r="Q19" s="25" t="s">
        <v>17</v>
      </c>
      <c r="R19" s="25" t="s">
        <v>17</v>
      </c>
      <c r="S19" s="25" t="s">
        <v>17</v>
      </c>
      <c r="T19" s="25" t="s">
        <v>17</v>
      </c>
      <c r="U19" s="25" t="s">
        <v>17</v>
      </c>
      <c r="V19" s="25" t="s">
        <v>17</v>
      </c>
      <c r="W19" s="25" t="s">
        <v>17</v>
      </c>
      <c r="X19" s="25" t="s">
        <v>17</v>
      </c>
      <c r="Y19" s="25" t="s">
        <v>17</v>
      </c>
      <c r="Z19" s="28">
        <v>54417.294893346159</v>
      </c>
      <c r="AA19" s="28">
        <v>55305.488335864749</v>
      </c>
      <c r="AB19" s="28">
        <v>55719.600408765895</v>
      </c>
      <c r="AC19" s="28">
        <v>56479.2854230995</v>
      </c>
      <c r="AD19" s="28">
        <v>56951.359603105127</v>
      </c>
      <c r="AE19" s="28">
        <v>57734.638521572393</v>
      </c>
      <c r="AF19" s="28">
        <v>57905.708066137624</v>
      </c>
      <c r="AG19" s="28">
        <v>58226.787450239768</v>
      </c>
      <c r="AH19" s="28">
        <v>58544.751567910091</v>
      </c>
      <c r="AI19" s="28">
        <v>58903.395331270993</v>
      </c>
      <c r="AJ19" s="28">
        <v>59138.372564511767</v>
      </c>
      <c r="AK19" s="28">
        <v>53347.561863282805</v>
      </c>
      <c r="AL19" s="24">
        <v>53027.311802463235</v>
      </c>
      <c r="AM19" s="28">
        <v>53983.835731026578</v>
      </c>
      <c r="AN19" s="28">
        <v>54829.207778887125</v>
      </c>
      <c r="AO19" s="28">
        <v>57090.815967873285</v>
      </c>
      <c r="AP19" s="28">
        <v>57394.239599197987</v>
      </c>
      <c r="AQ19" s="28">
        <v>57684.737884344577</v>
      </c>
      <c r="AR19" s="28">
        <v>56683.118592910025</v>
      </c>
      <c r="AS19" s="28">
        <v>57414.631075033758</v>
      </c>
      <c r="AT19" s="28">
        <v>58000.170579224017</v>
      </c>
      <c r="AU19" s="28">
        <v>58255.601702382453</v>
      </c>
      <c r="AV19" s="28">
        <v>58541.719652191765</v>
      </c>
      <c r="AW19" s="28">
        <v>58983.921806400002</v>
      </c>
      <c r="AX19" s="28">
        <v>94823.98571105898</v>
      </c>
      <c r="AY19" s="28">
        <v>98529.584148800001</v>
      </c>
      <c r="AZ19" s="28">
        <v>81987.316403999997</v>
      </c>
      <c r="BA19" s="28">
        <v>81896.855861999997</v>
      </c>
      <c r="BB19" s="28">
        <v>84840.887428775008</v>
      </c>
      <c r="BC19" s="28">
        <v>85301.54573830255</v>
      </c>
      <c r="BD19" s="28">
        <v>87964.25307532883</v>
      </c>
      <c r="BE19" s="28">
        <v>94067.350683819299</v>
      </c>
      <c r="BF19" s="28">
        <v>95451.507280760343</v>
      </c>
      <c r="BG19" s="28">
        <v>95121.45201828779</v>
      </c>
      <c r="BH19" s="28">
        <v>95855.763819885935</v>
      </c>
      <c r="BI19" s="28">
        <v>89184.621924708918</v>
      </c>
      <c r="BJ19" s="28">
        <v>89551.425710399999</v>
      </c>
      <c r="BK19" s="28">
        <v>89075.740804073997</v>
      </c>
      <c r="BL19" s="28">
        <v>89622.899961887204</v>
      </c>
      <c r="BM19" s="28">
        <v>96043.507134400003</v>
      </c>
      <c r="BN19" s="28">
        <v>97257.556284599996</v>
      </c>
      <c r="BO19" s="28">
        <v>94501.666800000006</v>
      </c>
      <c r="BP19" s="28">
        <v>95198.346342000004</v>
      </c>
      <c r="BQ19" s="28">
        <v>97331.343359399994</v>
      </c>
      <c r="BR19" s="28">
        <v>97784.853416699989</v>
      </c>
      <c r="BS19" s="28">
        <v>101421.85215799999</v>
      </c>
      <c r="BT19" s="28">
        <v>103813.1178048</v>
      </c>
      <c r="BU19" s="28">
        <v>105519.27366480003</v>
      </c>
    </row>
    <row r="20" spans="1:78" x14ac:dyDescent="0.2">
      <c r="A20" t="s">
        <v>6</v>
      </c>
      <c r="B20" s="25" t="s">
        <v>17</v>
      </c>
      <c r="C20" s="25" t="s">
        <v>17</v>
      </c>
      <c r="D20" s="25" t="s">
        <v>17</v>
      </c>
      <c r="E20" s="25" t="s">
        <v>17</v>
      </c>
      <c r="F20" s="25" t="s">
        <v>17</v>
      </c>
      <c r="G20" s="25" t="s">
        <v>17</v>
      </c>
      <c r="H20" s="25" t="s">
        <v>17</v>
      </c>
      <c r="I20" s="25" t="s">
        <v>17</v>
      </c>
      <c r="J20" s="25" t="s">
        <v>17</v>
      </c>
      <c r="K20" s="25" t="s">
        <v>17</v>
      </c>
      <c r="L20" s="25" t="s">
        <v>17</v>
      </c>
      <c r="M20" s="25" t="s">
        <v>17</v>
      </c>
      <c r="N20" s="25" t="s">
        <v>17</v>
      </c>
      <c r="O20" s="25" t="s">
        <v>17</v>
      </c>
      <c r="P20" s="25" t="s">
        <v>17</v>
      </c>
      <c r="Q20" s="25" t="s">
        <v>17</v>
      </c>
      <c r="R20" s="25" t="s">
        <v>17</v>
      </c>
      <c r="S20" s="25" t="s">
        <v>17</v>
      </c>
      <c r="T20" s="25" t="s">
        <v>17</v>
      </c>
      <c r="U20" s="25" t="s">
        <v>17</v>
      </c>
      <c r="V20" s="25" t="s">
        <v>17</v>
      </c>
      <c r="W20" s="25" t="s">
        <v>17</v>
      </c>
      <c r="X20" s="25" t="s">
        <v>17</v>
      </c>
      <c r="Y20" s="25" t="s">
        <v>17</v>
      </c>
      <c r="Z20" s="28">
        <v>4756.3510585964996</v>
      </c>
      <c r="AA20" s="28">
        <v>4776.8702656215</v>
      </c>
      <c r="AB20" s="28">
        <v>5004.4456934999989</v>
      </c>
      <c r="AC20" s="28">
        <v>5030.9527464000003</v>
      </c>
      <c r="AD20" s="28">
        <v>5008.9939809000007</v>
      </c>
      <c r="AE20" s="28">
        <v>5202.3375900253995</v>
      </c>
      <c r="AF20" s="28">
        <v>5236.3879179275991</v>
      </c>
      <c r="AG20" s="28">
        <v>5356.9835816099994</v>
      </c>
      <c r="AH20" s="28">
        <v>5487.6627864924012</v>
      </c>
      <c r="AI20" s="28">
        <v>5387.6239885055993</v>
      </c>
      <c r="AJ20" s="28">
        <v>5233.8108758875987</v>
      </c>
      <c r="AK20" s="28">
        <v>5045.6931331735996</v>
      </c>
      <c r="AL20" s="28">
        <v>4955.9819398645996</v>
      </c>
      <c r="AM20" s="28">
        <v>5134.0642848000007</v>
      </c>
      <c r="AN20" s="28">
        <v>5199.6320618</v>
      </c>
      <c r="AO20" s="28">
        <v>5120.5638152663996</v>
      </c>
      <c r="AP20" s="28">
        <v>5153.6338636770006</v>
      </c>
      <c r="AQ20" s="28">
        <v>5197.9639596693005</v>
      </c>
      <c r="AR20" s="28">
        <v>5284.6891268135996</v>
      </c>
      <c r="AS20" s="28">
        <v>5425.6558782969005</v>
      </c>
      <c r="AT20" s="28">
        <v>5528.2540744704002</v>
      </c>
      <c r="AU20" s="28">
        <v>5624.8481943596007</v>
      </c>
      <c r="AV20" s="28">
        <v>5637.9958394760006</v>
      </c>
      <c r="AW20" s="28">
        <v>5985.1125378000006</v>
      </c>
      <c r="AX20" s="28">
        <v>9820.227854946399</v>
      </c>
      <c r="AY20" s="28">
        <v>10425.0265344</v>
      </c>
      <c r="AZ20" s="28">
        <v>10135.137516000001</v>
      </c>
      <c r="BA20" s="28">
        <v>9774.3454546000012</v>
      </c>
      <c r="BB20" s="28">
        <v>10243.056352</v>
      </c>
      <c r="BC20" s="28">
        <v>10557.2315985</v>
      </c>
      <c r="BD20" s="28">
        <v>10674.766191599998</v>
      </c>
      <c r="BE20" s="28">
        <v>11218.074145564999</v>
      </c>
      <c r="BF20" s="28">
        <v>11293.474054</v>
      </c>
      <c r="BG20" s="28">
        <v>11472.711379164</v>
      </c>
      <c r="BH20" s="28">
        <v>13488.283691590501</v>
      </c>
      <c r="BI20" s="28">
        <v>12550.340419335</v>
      </c>
      <c r="BJ20" s="28">
        <v>12707.893296</v>
      </c>
      <c r="BK20" s="28">
        <v>12468.880737016258</v>
      </c>
      <c r="BL20" s="28">
        <v>12288.473828517192</v>
      </c>
      <c r="BM20" s="28">
        <v>13898.6468012</v>
      </c>
      <c r="BN20" s="28">
        <v>13708.075887000001</v>
      </c>
      <c r="BO20" s="28">
        <v>15180.001200000001</v>
      </c>
      <c r="BP20" s="28">
        <v>15369.718305599999</v>
      </c>
      <c r="BQ20" s="28">
        <v>15752.883209400001</v>
      </c>
      <c r="BR20" s="28">
        <v>15830.8323339</v>
      </c>
      <c r="BS20" s="28">
        <v>16219.677234000001</v>
      </c>
      <c r="BT20" s="28">
        <v>16656.3315348</v>
      </c>
      <c r="BU20" s="28">
        <v>16669.460403599998</v>
      </c>
    </row>
    <row r="21" spans="1:78" x14ac:dyDescent="0.2">
      <c r="A21" t="s">
        <v>7</v>
      </c>
      <c r="B21" s="25" t="s">
        <v>17</v>
      </c>
      <c r="C21" s="25" t="s">
        <v>17</v>
      </c>
      <c r="D21" s="25" t="s">
        <v>17</v>
      </c>
      <c r="E21" s="25" t="s">
        <v>17</v>
      </c>
      <c r="F21" s="25" t="s">
        <v>17</v>
      </c>
      <c r="G21" s="25" t="s">
        <v>17</v>
      </c>
      <c r="H21" s="25" t="s">
        <v>17</v>
      </c>
      <c r="I21" s="25" t="s">
        <v>17</v>
      </c>
      <c r="J21" s="25" t="s">
        <v>17</v>
      </c>
      <c r="K21" s="25" t="s">
        <v>17</v>
      </c>
      <c r="L21" s="25" t="s">
        <v>17</v>
      </c>
      <c r="M21" s="25" t="s">
        <v>17</v>
      </c>
      <c r="N21" s="25" t="s">
        <v>17</v>
      </c>
      <c r="O21" s="25" t="s">
        <v>17</v>
      </c>
      <c r="P21" s="25" t="s">
        <v>17</v>
      </c>
      <c r="Q21" s="25" t="s">
        <v>17</v>
      </c>
      <c r="R21" s="25" t="s">
        <v>17</v>
      </c>
      <c r="S21" s="25" t="s">
        <v>17</v>
      </c>
      <c r="T21" s="25" t="s">
        <v>17</v>
      </c>
      <c r="U21" s="25" t="s">
        <v>17</v>
      </c>
      <c r="V21" s="25" t="s">
        <v>17</v>
      </c>
      <c r="W21" s="25" t="s">
        <v>17</v>
      </c>
      <c r="X21" s="25" t="s">
        <v>17</v>
      </c>
      <c r="Y21" s="25" t="s">
        <v>17</v>
      </c>
      <c r="Z21" s="29">
        <v>2320.6126439693999</v>
      </c>
      <c r="AA21" s="29">
        <v>2616.0731160000005</v>
      </c>
      <c r="AB21" s="29">
        <v>2857.7530574999996</v>
      </c>
      <c r="AC21" s="29">
        <v>4624.4885958000004</v>
      </c>
      <c r="AD21" s="29">
        <v>3898.2090819000005</v>
      </c>
      <c r="AE21" s="29">
        <v>3567.9944264150995</v>
      </c>
      <c r="AF21" s="29">
        <v>3493.0460763709998</v>
      </c>
      <c r="AG21" s="29">
        <v>3457.4847922288</v>
      </c>
      <c r="AH21" s="29">
        <v>3492.3547134459996</v>
      </c>
      <c r="AI21" s="29">
        <v>3499.8315112637997</v>
      </c>
      <c r="AJ21" s="29">
        <v>3730.6074625595993</v>
      </c>
      <c r="AK21" s="29">
        <v>2846.2117529044003</v>
      </c>
      <c r="AL21" s="29">
        <v>3723.4635926095007</v>
      </c>
      <c r="AM21" s="29">
        <v>3602.8922688000002</v>
      </c>
      <c r="AN21" s="29">
        <v>3549.8754455999997</v>
      </c>
      <c r="AO21" s="29">
        <v>3469.3741042879519</v>
      </c>
      <c r="AP21" s="29">
        <v>3563.2519513890002</v>
      </c>
      <c r="AQ21" s="29">
        <v>3504.0910540155996</v>
      </c>
      <c r="AR21" s="29">
        <v>3542.6816243405997</v>
      </c>
      <c r="AS21" s="29">
        <v>3952.3860651375003</v>
      </c>
      <c r="AT21" s="29">
        <v>4009.25264376</v>
      </c>
      <c r="AU21" s="29">
        <v>4467.1909782284001</v>
      </c>
      <c r="AV21" s="29">
        <v>4374.5484686904001</v>
      </c>
      <c r="AW21" s="29">
        <v>4330.8591264000006</v>
      </c>
      <c r="AX21" s="29">
        <v>7173.1873584960003</v>
      </c>
      <c r="AY21" s="29">
        <v>7265.9403487999998</v>
      </c>
      <c r="AZ21" s="29">
        <v>6172.7845199999992</v>
      </c>
      <c r="BA21" s="29">
        <v>5973.7521303000003</v>
      </c>
      <c r="BB21" s="29">
        <v>5283.8282185440003</v>
      </c>
      <c r="BC21" s="29">
        <v>5553.6254304820004</v>
      </c>
      <c r="BD21" s="29">
        <v>5668.1355023999995</v>
      </c>
      <c r="BE21" s="29">
        <v>5922.5258730840987</v>
      </c>
      <c r="BF21" s="29">
        <v>5875.4407472000003</v>
      </c>
      <c r="BG21" s="29">
        <v>6005.9904220890003</v>
      </c>
      <c r="BH21" s="29">
        <v>5855.1084737652</v>
      </c>
      <c r="BI21" s="29">
        <v>5361.674528181843</v>
      </c>
      <c r="BJ21" s="29">
        <v>5889.7132944000004</v>
      </c>
      <c r="BK21" s="29">
        <v>5514.9790031283555</v>
      </c>
      <c r="BL21" s="29">
        <v>6108.094463589212</v>
      </c>
      <c r="BM21" s="29">
        <v>6360.0121878999998</v>
      </c>
      <c r="BN21" s="29">
        <v>6691.5500006000002</v>
      </c>
      <c r="BO21" s="29">
        <v>6190.4807999999994</v>
      </c>
      <c r="BP21" s="29">
        <v>6103.8140687999994</v>
      </c>
      <c r="BQ21" s="29">
        <v>6262.2156707999993</v>
      </c>
      <c r="BR21" s="29">
        <v>6326.3892134999996</v>
      </c>
      <c r="BS21" s="29">
        <v>6548.7405039999994</v>
      </c>
      <c r="BT21" s="29">
        <v>6719.7682187999999</v>
      </c>
      <c r="BU21" s="29">
        <v>6698.2481201999999</v>
      </c>
    </row>
    <row r="22" spans="1:78" x14ac:dyDescent="0.2">
      <c r="A22" t="s">
        <v>8</v>
      </c>
      <c r="B22" s="25" t="s">
        <v>17</v>
      </c>
      <c r="C22" s="25" t="s">
        <v>17</v>
      </c>
      <c r="D22" s="25" t="s">
        <v>17</v>
      </c>
      <c r="E22" s="25" t="s">
        <v>17</v>
      </c>
      <c r="F22" s="25" t="s">
        <v>17</v>
      </c>
      <c r="G22" s="25" t="s">
        <v>17</v>
      </c>
      <c r="H22" s="25" t="s">
        <v>17</v>
      </c>
      <c r="I22" s="25" t="s">
        <v>17</v>
      </c>
      <c r="J22" s="25" t="s">
        <v>17</v>
      </c>
      <c r="K22" s="25" t="s">
        <v>17</v>
      </c>
      <c r="L22" s="25" t="s">
        <v>17</v>
      </c>
      <c r="M22" s="25" t="s">
        <v>17</v>
      </c>
      <c r="N22" s="25" t="s">
        <v>17</v>
      </c>
      <c r="O22" s="25" t="s">
        <v>17</v>
      </c>
      <c r="P22" s="25" t="s">
        <v>17</v>
      </c>
      <c r="Q22" s="25" t="s">
        <v>17</v>
      </c>
      <c r="R22" s="25" t="s">
        <v>17</v>
      </c>
      <c r="S22" s="25" t="s">
        <v>17</v>
      </c>
      <c r="T22" s="25" t="s">
        <v>17</v>
      </c>
      <c r="U22" s="25" t="s">
        <v>17</v>
      </c>
      <c r="V22" s="25" t="s">
        <v>17</v>
      </c>
      <c r="W22" s="25" t="s">
        <v>17</v>
      </c>
      <c r="X22" s="25" t="s">
        <v>17</v>
      </c>
      <c r="Y22" s="25" t="s">
        <v>17</v>
      </c>
      <c r="Z22" s="29">
        <v>12920.487396313199</v>
      </c>
      <c r="AA22" s="29">
        <v>12668.225949000001</v>
      </c>
      <c r="AB22" s="29">
        <v>12830.061518999997</v>
      </c>
      <c r="AC22" s="29">
        <v>12329.700503400001</v>
      </c>
      <c r="AD22" s="29">
        <v>12776.0518515</v>
      </c>
      <c r="AE22" s="29">
        <v>12524.639402041801</v>
      </c>
      <c r="AF22" s="29">
        <v>12169.783757167666</v>
      </c>
      <c r="AG22" s="29">
        <v>12059.142540584196</v>
      </c>
      <c r="AH22" s="29">
        <v>12510.219751772984</v>
      </c>
      <c r="AI22" s="29">
        <v>12750.258946587741</v>
      </c>
      <c r="AJ22" s="29">
        <v>12541.244340985671</v>
      </c>
      <c r="AK22" s="29">
        <v>11670.145843159356</v>
      </c>
      <c r="AL22" s="29">
        <v>11686.913381278235</v>
      </c>
      <c r="AM22" s="29">
        <v>11617.412443200001</v>
      </c>
      <c r="AN22" s="29">
        <v>11468.6180312</v>
      </c>
      <c r="AO22" s="29">
        <v>11398.59517699312</v>
      </c>
      <c r="AP22" s="29">
        <v>11352.937050840646</v>
      </c>
      <c r="AQ22" s="29">
        <v>11060.105150812253</v>
      </c>
      <c r="AR22" s="29">
        <v>11426.801144138308</v>
      </c>
      <c r="AS22" s="29">
        <v>11757.551185789878</v>
      </c>
      <c r="AT22" s="29">
        <v>12184.404015098016</v>
      </c>
      <c r="AU22" s="29">
        <v>12379.983901814501</v>
      </c>
      <c r="AV22" s="29">
        <v>12106.389553982721</v>
      </c>
      <c r="AW22" s="29">
        <v>12131.161063200001</v>
      </c>
      <c r="AX22" s="29">
        <v>19484.037643999996</v>
      </c>
      <c r="AY22" s="29">
        <v>19855.843609600004</v>
      </c>
      <c r="AZ22" s="29">
        <v>16405.771241999999</v>
      </c>
      <c r="BA22" s="29">
        <v>15232.774071400001</v>
      </c>
      <c r="BB22" s="29">
        <v>15648.258383999997</v>
      </c>
      <c r="BC22" s="29">
        <v>15453.41951482171</v>
      </c>
      <c r="BD22" s="29">
        <v>16070.857412399999</v>
      </c>
      <c r="BE22" s="29">
        <v>17310.315099064152</v>
      </c>
      <c r="BF22" s="29">
        <v>17594.458196799998</v>
      </c>
      <c r="BG22" s="29">
        <v>17371.292428060835</v>
      </c>
      <c r="BH22" s="29">
        <v>16809.941534811871</v>
      </c>
      <c r="BI22" s="29">
        <v>14991.55082246227</v>
      </c>
      <c r="BJ22" s="29">
        <v>14679.599937599998</v>
      </c>
      <c r="BK22" s="29">
        <v>14243.198113954548</v>
      </c>
      <c r="BL22" s="29">
        <v>14354.770203993139</v>
      </c>
      <c r="BM22" s="29">
        <v>14465.558547300001</v>
      </c>
      <c r="BN22" s="29">
        <v>14673.647699200001</v>
      </c>
      <c r="BO22" s="29">
        <v>13920.296400000003</v>
      </c>
      <c r="BP22" s="29">
        <v>13517.256607199997</v>
      </c>
      <c r="BQ22" s="29">
        <v>13826.763793799997</v>
      </c>
      <c r="BR22" s="29">
        <v>13935.665448400001</v>
      </c>
      <c r="BS22" s="29">
        <v>14260.344540000002</v>
      </c>
      <c r="BT22" s="29">
        <v>14334.9776172</v>
      </c>
      <c r="BU22" s="29">
        <v>13907.0374926</v>
      </c>
    </row>
    <row r="23" spans="1:78" ht="13.5" thickBot="1" x14ac:dyDescent="0.25">
      <c r="A23" s="6"/>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row>
    <row r="24" spans="1:78" x14ac:dyDescent="0.2">
      <c r="A24" s="1" t="s">
        <v>9</v>
      </c>
      <c r="B24" s="31">
        <f>+B9</f>
        <v>31668.103129000003</v>
      </c>
      <c r="C24" s="31">
        <f t="shared" ref="C24:X24" si="3">+C9</f>
        <v>33836.192213000002</v>
      </c>
      <c r="D24" s="31">
        <f t="shared" si="3"/>
        <v>35170.825530999995</v>
      </c>
      <c r="E24" s="31">
        <f t="shared" si="3"/>
        <v>38058.442459385013</v>
      </c>
      <c r="F24" s="31">
        <f t="shared" si="3"/>
        <v>40241.670468090902</v>
      </c>
      <c r="G24" s="31">
        <f t="shared" si="3"/>
        <v>43870.368985572743</v>
      </c>
      <c r="H24" s="31">
        <f t="shared" si="3"/>
        <v>43014.590203085419</v>
      </c>
      <c r="I24" s="31">
        <f t="shared" si="3"/>
        <v>43920.97000730416</v>
      </c>
      <c r="J24" s="31">
        <f t="shared" si="3"/>
        <v>46520.943500260975</v>
      </c>
      <c r="K24" s="31">
        <f t="shared" si="3"/>
        <v>47798.00688252828</v>
      </c>
      <c r="L24" s="31">
        <f t="shared" si="3"/>
        <v>49398.896160043791</v>
      </c>
      <c r="M24" s="31">
        <f t="shared" si="3"/>
        <v>53802.301623282627</v>
      </c>
      <c r="N24" s="31">
        <f t="shared" si="3"/>
        <v>53425.313858734167</v>
      </c>
      <c r="O24" s="31">
        <f t="shared" si="3"/>
        <v>55822.21719279213</v>
      </c>
      <c r="P24" s="31">
        <f t="shared" si="3"/>
        <v>56491.750357749552</v>
      </c>
      <c r="Q24" s="31">
        <f t="shared" si="3"/>
        <v>59160.881436183394</v>
      </c>
      <c r="R24" s="31">
        <f t="shared" si="3"/>
        <v>68506.454287348126</v>
      </c>
      <c r="S24" s="31">
        <f t="shared" si="3"/>
        <v>69501.759897843032</v>
      </c>
      <c r="T24" s="31">
        <f t="shared" si="3"/>
        <v>70150.073692218837</v>
      </c>
      <c r="U24" s="31">
        <f t="shared" si="3"/>
        <v>75868.936166083455</v>
      </c>
      <c r="V24" s="31">
        <f t="shared" si="3"/>
        <v>75065.23294806332</v>
      </c>
      <c r="W24" s="31">
        <f t="shared" si="3"/>
        <v>78198.853351739395</v>
      </c>
      <c r="X24" s="31">
        <f t="shared" si="3"/>
        <v>141844.21169798798</v>
      </c>
      <c r="Y24" s="31">
        <f>+Y9</f>
        <v>147087.42119044339</v>
      </c>
      <c r="Z24" s="32">
        <f t="shared" ref="Z24:BD24" si="4">+Z9+Z18</f>
        <v>229053.89491721551</v>
      </c>
      <c r="AA24" s="32">
        <f t="shared" si="4"/>
        <v>233354.78246227078</v>
      </c>
      <c r="AB24" s="32">
        <f t="shared" si="4"/>
        <v>238010.1874062703</v>
      </c>
      <c r="AC24" s="32">
        <f t="shared" si="4"/>
        <v>238228.82760335522</v>
      </c>
      <c r="AD24" s="32">
        <f t="shared" si="4"/>
        <v>233331.94651366197</v>
      </c>
      <c r="AE24" s="32">
        <f t="shared" si="4"/>
        <v>227884.07132260952</v>
      </c>
      <c r="AF24" s="32">
        <f t="shared" si="4"/>
        <v>210230.52912921389</v>
      </c>
      <c r="AG24" s="32">
        <f t="shared" si="4"/>
        <v>187218.75762210169</v>
      </c>
      <c r="AH24" s="32">
        <f t="shared" si="4"/>
        <v>177856.94297827149</v>
      </c>
      <c r="AI24" s="32">
        <f t="shared" si="4"/>
        <v>181286.80708873461</v>
      </c>
      <c r="AJ24" s="32">
        <f t="shared" si="4"/>
        <v>177244.77930110221</v>
      </c>
      <c r="AK24" s="32">
        <f t="shared" si="4"/>
        <v>191433.58463535403</v>
      </c>
      <c r="AL24" s="32">
        <f t="shared" si="4"/>
        <v>248495.39610920585</v>
      </c>
      <c r="AM24" s="32">
        <f t="shared" si="4"/>
        <v>252972.98595221108</v>
      </c>
      <c r="AN24" s="32">
        <f t="shared" si="4"/>
        <v>257663.77855259151</v>
      </c>
      <c r="AO24" s="32">
        <f t="shared" si="4"/>
        <v>259682.18287631019</v>
      </c>
      <c r="AP24" s="32">
        <f t="shared" si="4"/>
        <v>255079.69312208734</v>
      </c>
      <c r="AQ24" s="32">
        <f t="shared" si="4"/>
        <v>267340.05517062655</v>
      </c>
      <c r="AR24" s="32">
        <f t="shared" si="4"/>
        <v>275397.80649649259</v>
      </c>
      <c r="AS24" s="32">
        <f t="shared" si="4"/>
        <v>276059.80214841693</v>
      </c>
      <c r="AT24" s="32">
        <f t="shared" si="4"/>
        <v>275888.00384535245</v>
      </c>
      <c r="AU24" s="32">
        <f t="shared" si="4"/>
        <v>295661.02578154148</v>
      </c>
      <c r="AV24" s="32">
        <f t="shared" si="4"/>
        <v>304113.41188928846</v>
      </c>
      <c r="AW24" s="32">
        <f t="shared" si="4"/>
        <v>320332.91650460387</v>
      </c>
      <c r="AX24" s="32">
        <f t="shared" si="4"/>
        <v>386236.65118850139</v>
      </c>
      <c r="AY24" s="32">
        <f t="shared" si="4"/>
        <v>396256.30936206854</v>
      </c>
      <c r="AZ24" s="32">
        <f t="shared" si="4"/>
        <v>380592.58859331964</v>
      </c>
      <c r="BA24" s="32">
        <f t="shared" si="4"/>
        <v>395407.51711945381</v>
      </c>
      <c r="BB24" s="32">
        <f t="shared" si="4"/>
        <v>419060.00187341846</v>
      </c>
      <c r="BC24" s="32">
        <f t="shared" si="4"/>
        <v>428998.1364207805</v>
      </c>
      <c r="BD24" s="32">
        <f t="shared" si="4"/>
        <v>435399.84891020949</v>
      </c>
      <c r="BE24" s="32">
        <f t="shared" ref="BE24:BU24" si="5">+BE9+BE18</f>
        <v>453343.14474817947</v>
      </c>
      <c r="BF24" s="32">
        <f t="shared" si="5"/>
        <v>465415.81967442483</v>
      </c>
      <c r="BG24" s="32">
        <f t="shared" si="5"/>
        <v>480473.5023184641</v>
      </c>
      <c r="BH24" s="32">
        <f t="shared" si="5"/>
        <v>487173.46631916548</v>
      </c>
      <c r="BI24" s="32">
        <f t="shared" si="5"/>
        <v>499053.81245627074</v>
      </c>
      <c r="BJ24" s="32">
        <f t="shared" si="5"/>
        <v>514108.09851564339</v>
      </c>
      <c r="BK24" s="32">
        <f t="shared" si="5"/>
        <v>517719.06959236541</v>
      </c>
      <c r="BL24" s="32">
        <f t="shared" si="5"/>
        <v>525181.80323519884</v>
      </c>
      <c r="BM24" s="32">
        <f t="shared" si="5"/>
        <v>539189.77214547747</v>
      </c>
      <c r="BN24" s="32">
        <f t="shared" si="5"/>
        <v>552498.23309991555</v>
      </c>
      <c r="BO24" s="32">
        <f t="shared" si="5"/>
        <v>554820.5842409113</v>
      </c>
      <c r="BP24" s="32">
        <f t="shared" si="5"/>
        <v>557822.23892037733</v>
      </c>
      <c r="BQ24" s="32">
        <f t="shared" si="5"/>
        <v>556965.73528946657</v>
      </c>
      <c r="BR24" s="32">
        <f t="shared" si="5"/>
        <v>564512.46602806484</v>
      </c>
      <c r="BS24" s="32">
        <f t="shared" si="5"/>
        <v>569318.36927173194</v>
      </c>
      <c r="BT24" s="32">
        <f t="shared" si="5"/>
        <v>567665.91407028772</v>
      </c>
      <c r="BU24" s="32">
        <f t="shared" si="5"/>
        <v>569884.14184148074</v>
      </c>
    </row>
    <row r="25" spans="1:78" x14ac:dyDescent="0.2">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row>
    <row r="26" spans="1:78" x14ac:dyDescent="0.2">
      <c r="A26" s="7" t="s">
        <v>13</v>
      </c>
      <c r="B26" s="7"/>
      <c r="C26" s="7"/>
      <c r="D26" s="7"/>
      <c r="E26" s="7"/>
      <c r="F26" s="7"/>
      <c r="G26" s="7"/>
      <c r="H26" s="7"/>
      <c r="I26" s="7"/>
      <c r="J26" s="7"/>
      <c r="K26" s="7"/>
      <c r="L26" s="7"/>
      <c r="M26" s="7"/>
      <c r="N26" s="7"/>
      <c r="O26" s="7"/>
      <c r="P26" s="7"/>
      <c r="Q26" s="7"/>
      <c r="R26" s="7"/>
      <c r="S26" s="7"/>
      <c r="T26" s="7"/>
      <c r="U26" s="7"/>
      <c r="V26" s="7"/>
      <c r="W26" s="7"/>
      <c r="X26" s="7"/>
      <c r="Y26" s="7"/>
    </row>
    <row r="27" spans="1:78" x14ac:dyDescent="0.2">
      <c r="A27" s="7" t="s">
        <v>15</v>
      </c>
      <c r="B27" s="7"/>
      <c r="C27" s="7"/>
      <c r="D27" s="7"/>
      <c r="E27" s="7"/>
      <c r="F27" s="7"/>
      <c r="G27" s="7"/>
      <c r="H27" s="7"/>
      <c r="I27" s="7"/>
      <c r="J27" s="7"/>
      <c r="K27" s="7"/>
      <c r="L27" s="7"/>
      <c r="M27" s="7"/>
      <c r="N27" s="7"/>
      <c r="O27" s="7"/>
      <c r="P27" s="7"/>
      <c r="Q27" s="7"/>
      <c r="R27" s="7"/>
      <c r="S27" s="7"/>
      <c r="T27" s="7"/>
      <c r="U27" s="7"/>
      <c r="V27" s="7"/>
      <c r="W27" s="7"/>
      <c r="X27" s="7"/>
      <c r="Y27" s="7"/>
      <c r="BV27" s="10"/>
      <c r="BW27" s="10"/>
      <c r="BX27" s="10"/>
      <c r="BY27" s="10"/>
      <c r="BZ27" s="10"/>
    </row>
    <row r="28" spans="1:78" x14ac:dyDescent="0.2">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A28" s="94"/>
      <c r="AR28" s="3"/>
      <c r="AS28" s="5"/>
      <c r="AU28" s="5"/>
      <c r="AV28" s="5"/>
    </row>
    <row r="29" spans="1:78" x14ac:dyDescent="0.2">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row>
    <row r="33" spans="2:74" hidden="1" x14ac:dyDescent="0.2">
      <c r="B33" s="9">
        <v>1545215.591</v>
      </c>
      <c r="C33" s="9">
        <v>3630198.6880000001</v>
      </c>
      <c r="D33" s="9">
        <v>5790118.2479999997</v>
      </c>
      <c r="E33" s="9">
        <v>5746593.5820000004</v>
      </c>
      <c r="F33" s="9">
        <v>3120000</v>
      </c>
      <c r="G33" s="9">
        <v>1582123.007</v>
      </c>
      <c r="H33" s="9">
        <v>4621315.0379999997</v>
      </c>
      <c r="I33" s="9">
        <v>8787299.5020000003</v>
      </c>
      <c r="J33" s="9">
        <v>10761854.915999999</v>
      </c>
      <c r="K33" s="9">
        <v>12730286.043</v>
      </c>
      <c r="L33" s="9">
        <v>14557137.045</v>
      </c>
      <c r="M33" s="9">
        <v>19588115.727959998</v>
      </c>
      <c r="N33" s="9">
        <v>23279032.913102001</v>
      </c>
      <c r="O33" s="9">
        <v>25648525.598344002</v>
      </c>
      <c r="P33" s="9">
        <v>27619800.470504001</v>
      </c>
      <c r="Q33" s="9">
        <v>29981275.472232003</v>
      </c>
      <c r="R33" s="9">
        <v>34240606.203702003</v>
      </c>
      <c r="S33" s="9">
        <v>36193884.092400998</v>
      </c>
      <c r="T33" s="9">
        <v>36496103.310056001</v>
      </c>
      <c r="U33" s="9">
        <v>41667831.883721001</v>
      </c>
      <c r="V33" s="9">
        <v>40817427.730333</v>
      </c>
      <c r="W33" s="9">
        <v>43250903.936658993</v>
      </c>
      <c r="X33" s="9">
        <v>46519833.995402999</v>
      </c>
      <c r="Y33" s="9">
        <v>48076521.074152999</v>
      </c>
      <c r="Z33" s="9">
        <v>49008687.118005</v>
      </c>
      <c r="AA33" s="9">
        <v>51409000.572104007</v>
      </c>
      <c r="AB33" s="9">
        <v>53674224.581905998</v>
      </c>
      <c r="AC33" s="9">
        <v>54737383.031613998</v>
      </c>
      <c r="AD33" s="9">
        <v>52453576.589547999</v>
      </c>
      <c r="AE33" s="9">
        <v>53495070.168734998</v>
      </c>
      <c r="AF33" s="9">
        <v>56661504.034961</v>
      </c>
      <c r="AG33" s="9">
        <v>59389321.140223868</v>
      </c>
      <c r="AH33" s="9">
        <v>60086564.673955016</v>
      </c>
      <c r="AI33" s="9">
        <v>62730943.408684269</v>
      </c>
      <c r="AJ33" s="9">
        <v>57394559.550353073</v>
      </c>
      <c r="AK33" s="9">
        <v>66825492.541639261</v>
      </c>
      <c r="AL33" s="9">
        <v>66448208.131295107</v>
      </c>
      <c r="AM33" s="9">
        <v>69770376.535115123</v>
      </c>
      <c r="AN33" s="9">
        <v>76107743.323844284</v>
      </c>
      <c r="AO33" s="9">
        <v>76270662.667104572</v>
      </c>
      <c r="AP33" s="9">
        <v>69514888.099382877</v>
      </c>
      <c r="AQ33" s="9">
        <v>58214984.051289998</v>
      </c>
      <c r="AR33" s="9">
        <v>39994121.768300004</v>
      </c>
      <c r="AS33" s="9">
        <v>27963580.378940001</v>
      </c>
      <c r="AT33" s="9">
        <v>17827879.587859999</v>
      </c>
      <c r="AU33" s="9">
        <v>8519396.3153099995</v>
      </c>
      <c r="AV33" s="9">
        <v>4822119.7712399997</v>
      </c>
      <c r="AW33" s="9">
        <v>4913839.0948599996</v>
      </c>
      <c r="AX33" s="9">
        <v>5007305</v>
      </c>
      <c r="AY33" s="9">
        <v>5093255.9064800004</v>
      </c>
      <c r="AZ33" s="9">
        <v>4359590.6633299999</v>
      </c>
      <c r="BA33" s="9">
        <v>8981212.2464899998</v>
      </c>
      <c r="BB33" s="9">
        <v>16219948.091550002</v>
      </c>
      <c r="BC33" s="9">
        <v>25806013.960510001</v>
      </c>
      <c r="BD33" s="9">
        <v>26983977.055720001</v>
      </c>
      <c r="BE33" s="9">
        <v>33976239.324280001</v>
      </c>
      <c r="BF33" s="9">
        <v>37047617.5123</v>
      </c>
      <c r="BG33" s="9">
        <v>47659364.560000002</v>
      </c>
      <c r="BH33" s="9">
        <v>46773095.797959998</v>
      </c>
      <c r="BI33" s="9">
        <v>39716560.461629994</v>
      </c>
      <c r="BJ33" s="9">
        <v>42790198.618020006</v>
      </c>
      <c r="BK33" s="9">
        <v>47244245.662830003</v>
      </c>
      <c r="BL33" s="9">
        <v>56743328.080120005</v>
      </c>
      <c r="BM33" s="9">
        <v>64720953.969840005</v>
      </c>
      <c r="BN33" s="9">
        <v>61290239.762309998</v>
      </c>
      <c r="BO33" s="9">
        <v>65432150.396030001</v>
      </c>
      <c r="BP33" s="9">
        <v>68607581.686890006</v>
      </c>
      <c r="BQ33" s="9">
        <v>72461365.40275</v>
      </c>
      <c r="BR33" s="9">
        <v>77352887.142089993</v>
      </c>
      <c r="BS33" s="9">
        <v>79521968.664700001</v>
      </c>
      <c r="BT33" s="9">
        <v>74508454.217559993</v>
      </c>
      <c r="BU33" s="9">
        <v>75438026.360909998</v>
      </c>
    </row>
    <row r="34" spans="2:74" hidden="1" x14ac:dyDescent="0.2">
      <c r="B34" s="9">
        <v>8531679.3959999997</v>
      </c>
      <c r="C34" s="9">
        <v>10379642.884</v>
      </c>
      <c r="D34" s="9">
        <v>12947058.005000001</v>
      </c>
      <c r="E34" s="9">
        <v>13536694.771</v>
      </c>
      <c r="F34" s="9">
        <v>13766869</v>
      </c>
      <c r="G34" s="9">
        <v>15888043</v>
      </c>
      <c r="H34" s="9">
        <v>16517069.5</v>
      </c>
      <c r="I34" s="9">
        <v>17140013</v>
      </c>
      <c r="J34" s="9">
        <v>17698230.5</v>
      </c>
      <c r="K34" s="9">
        <v>18233841</v>
      </c>
      <c r="L34" s="9">
        <v>18746225</v>
      </c>
      <c r="M34" s="9">
        <v>18460282.5</v>
      </c>
      <c r="N34" s="9">
        <v>14216305</v>
      </c>
      <c r="O34" s="9">
        <v>12211233</v>
      </c>
      <c r="P34" s="9">
        <v>7089670.5</v>
      </c>
      <c r="Q34" s="9">
        <v>4972098.5</v>
      </c>
      <c r="R34" s="9">
        <v>2121525</v>
      </c>
      <c r="S34" s="9">
        <v>0</v>
      </c>
      <c r="T34" s="9">
        <v>0</v>
      </c>
      <c r="U34" s="9">
        <v>0</v>
      </c>
      <c r="V34" s="9">
        <v>0</v>
      </c>
      <c r="W34" s="9">
        <v>0</v>
      </c>
      <c r="X34" s="9">
        <v>0</v>
      </c>
      <c r="Y34" s="9">
        <v>0</v>
      </c>
      <c r="Z34" s="9">
        <v>0</v>
      </c>
      <c r="AA34" s="9">
        <v>0</v>
      </c>
      <c r="AB34" s="9">
        <v>0</v>
      </c>
      <c r="AC34" s="9">
        <v>0</v>
      </c>
      <c r="AD34" s="9">
        <v>0</v>
      </c>
      <c r="AE34" s="9">
        <v>0</v>
      </c>
      <c r="AF34" s="9">
        <v>0</v>
      </c>
      <c r="AG34" s="9">
        <v>0</v>
      </c>
      <c r="AH34" s="9">
        <v>0</v>
      </c>
      <c r="AI34" s="9">
        <v>0</v>
      </c>
      <c r="AJ34" s="9">
        <v>0</v>
      </c>
      <c r="AK34" s="9">
        <v>14913102.563599998</v>
      </c>
      <c r="AL34" s="9">
        <v>15292957.918</v>
      </c>
      <c r="AM34" s="9">
        <v>15618666.238600001</v>
      </c>
      <c r="AN34" s="9">
        <v>15962390.7776</v>
      </c>
      <c r="AO34" s="9">
        <v>14871834.447233694</v>
      </c>
      <c r="AP34" s="9">
        <v>15114250.550725892</v>
      </c>
      <c r="AQ34" s="9">
        <v>33490000.079229999</v>
      </c>
      <c r="AR34" s="9">
        <v>59333593.176679999</v>
      </c>
      <c r="AS34" s="9">
        <v>81519991.266719997</v>
      </c>
      <c r="AT34" s="9">
        <v>89804353.264150009</v>
      </c>
      <c r="AU34" s="9">
        <v>108404500.20365001</v>
      </c>
      <c r="AV34" s="9">
        <v>117860981.77779001</v>
      </c>
      <c r="AW34" s="9">
        <v>128553291.48157001</v>
      </c>
      <c r="AX34" s="9">
        <v>116324165</v>
      </c>
      <c r="AY34" s="9">
        <v>102915136.85861</v>
      </c>
      <c r="AZ34" s="9">
        <v>99466580.743660003</v>
      </c>
      <c r="BA34" s="9">
        <v>113104688.08284</v>
      </c>
      <c r="BB34" s="9">
        <v>124817405.20374</v>
      </c>
      <c r="BC34" s="9">
        <v>130505693.79215001</v>
      </c>
      <c r="BD34" s="9">
        <v>130254384.72142</v>
      </c>
      <c r="BE34" s="9">
        <v>128530537.80506</v>
      </c>
      <c r="BF34" s="9">
        <v>134563868.86807999</v>
      </c>
      <c r="BG34" s="9">
        <v>143847031.27790999</v>
      </c>
      <c r="BH34" s="9">
        <v>149693740.69732001</v>
      </c>
      <c r="BI34" s="9">
        <v>151128118.52846</v>
      </c>
      <c r="BJ34" s="9">
        <v>161715870.55078998</v>
      </c>
      <c r="BK34" s="9">
        <v>175934171.74665001</v>
      </c>
      <c r="BL34" s="9">
        <v>189781602.36014003</v>
      </c>
      <c r="BM34" s="9">
        <v>186330231.64427003</v>
      </c>
      <c r="BN34" s="9">
        <v>194760098.83589002</v>
      </c>
      <c r="BO34" s="9">
        <v>206642719.92422</v>
      </c>
      <c r="BP34" s="9">
        <v>206883068.62077999</v>
      </c>
      <c r="BQ34" s="9">
        <v>199262004.88725001</v>
      </c>
      <c r="BR34" s="9">
        <v>202021701.06816998</v>
      </c>
      <c r="BS34" s="9">
        <v>201706144.73931</v>
      </c>
      <c r="BT34" s="9">
        <v>202450346.15955999</v>
      </c>
      <c r="BU34" s="9">
        <v>204850217.04145002</v>
      </c>
    </row>
    <row r="35" spans="2:74" hidden="1" x14ac:dyDescent="0.2">
      <c r="B35" s="9">
        <v>0</v>
      </c>
      <c r="C35" s="9">
        <v>0</v>
      </c>
      <c r="D35" s="9">
        <v>0</v>
      </c>
      <c r="E35" s="9">
        <v>0</v>
      </c>
      <c r="F35" s="9">
        <v>0</v>
      </c>
      <c r="G35" s="9">
        <v>0</v>
      </c>
      <c r="H35" s="9">
        <v>0</v>
      </c>
      <c r="I35" s="9">
        <v>0</v>
      </c>
      <c r="J35" s="9">
        <v>0</v>
      </c>
      <c r="K35" s="9">
        <v>0</v>
      </c>
      <c r="L35" s="9">
        <v>0</v>
      </c>
      <c r="M35" s="9">
        <v>333418.7</v>
      </c>
      <c r="N35" s="9">
        <v>0</v>
      </c>
      <c r="O35" s="9">
        <v>0</v>
      </c>
      <c r="P35" s="9">
        <v>0</v>
      </c>
      <c r="Q35" s="9">
        <v>0</v>
      </c>
      <c r="R35" s="9">
        <v>0</v>
      </c>
      <c r="S35" s="9">
        <v>0</v>
      </c>
      <c r="T35" s="9">
        <v>0</v>
      </c>
      <c r="U35" s="9">
        <v>0</v>
      </c>
      <c r="V35" s="9">
        <v>0</v>
      </c>
      <c r="W35" s="9">
        <v>0</v>
      </c>
      <c r="X35" s="9">
        <v>0</v>
      </c>
      <c r="Y35" s="9">
        <v>8585.17</v>
      </c>
      <c r="Z35" s="9">
        <v>0</v>
      </c>
      <c r="AA35" s="9">
        <v>0</v>
      </c>
      <c r="AB35" s="9">
        <v>0</v>
      </c>
      <c r="AC35" s="9">
        <v>0</v>
      </c>
      <c r="AD35" s="9">
        <v>0</v>
      </c>
      <c r="AE35" s="9">
        <v>0</v>
      </c>
      <c r="AF35" s="9">
        <v>0</v>
      </c>
      <c r="AG35" s="9">
        <v>0</v>
      </c>
      <c r="AH35" s="9">
        <v>0</v>
      </c>
      <c r="AI35" s="9">
        <v>0</v>
      </c>
      <c r="AJ35" s="9">
        <v>0</v>
      </c>
      <c r="AK35" s="9">
        <v>0</v>
      </c>
      <c r="AL35" s="9">
        <v>0</v>
      </c>
      <c r="AM35" s="9">
        <v>0</v>
      </c>
      <c r="AN35" s="9">
        <v>0</v>
      </c>
      <c r="AO35" s="9">
        <v>0</v>
      </c>
      <c r="AP35" s="9">
        <v>0</v>
      </c>
      <c r="AQ35" s="9">
        <v>0</v>
      </c>
      <c r="AR35" s="9">
        <v>0</v>
      </c>
      <c r="AS35" s="9">
        <v>0</v>
      </c>
      <c r="AT35" s="9">
        <v>0</v>
      </c>
      <c r="AU35" s="9">
        <v>0</v>
      </c>
      <c r="AV35" s="9">
        <v>0</v>
      </c>
      <c r="AW35" s="9">
        <v>0</v>
      </c>
      <c r="AX35" s="9">
        <v>0</v>
      </c>
      <c r="AY35" s="9">
        <v>0</v>
      </c>
      <c r="AZ35" s="9">
        <v>0</v>
      </c>
      <c r="BA35" s="9">
        <v>0</v>
      </c>
      <c r="BB35" s="9">
        <v>0</v>
      </c>
      <c r="BC35" s="9">
        <v>0</v>
      </c>
      <c r="BD35" s="9">
        <v>0</v>
      </c>
      <c r="BE35" s="9">
        <v>0</v>
      </c>
      <c r="BF35" s="9">
        <v>0</v>
      </c>
      <c r="BG35" s="9">
        <v>0</v>
      </c>
      <c r="BH35" s="9">
        <v>0</v>
      </c>
      <c r="BI35" s="9">
        <v>830602.73737999995</v>
      </c>
      <c r="BJ35" s="9">
        <v>850482.48390999995</v>
      </c>
      <c r="BK35" s="9">
        <v>1720437.07489</v>
      </c>
      <c r="BL35" s="9">
        <v>2603206.0427100002</v>
      </c>
      <c r="BM35" s="9">
        <v>4301289.4519699998</v>
      </c>
      <c r="BN35" s="9">
        <v>4406643.3359800009</v>
      </c>
      <c r="BO35" s="9">
        <v>4335643.1251600003</v>
      </c>
      <c r="BP35" s="9">
        <v>4641069.9551200001</v>
      </c>
      <c r="BQ35" s="9">
        <v>5343557.6163900001</v>
      </c>
      <c r="BR35" s="9">
        <v>5913473.1929400004</v>
      </c>
      <c r="BS35" s="9">
        <v>6453990.34296</v>
      </c>
      <c r="BT35" s="9">
        <v>6805325.5657099998</v>
      </c>
      <c r="BU35" s="9">
        <v>7022458.4064800004</v>
      </c>
    </row>
    <row r="36" spans="2:74" hidden="1" x14ac:dyDescent="0.2">
      <c r="B36" s="9">
        <v>4730108.53</v>
      </c>
      <c r="C36" s="9">
        <v>5407941.6960000005</v>
      </c>
      <c r="D36" s="9">
        <v>3433494.3420000002</v>
      </c>
      <c r="E36" s="9">
        <v>2701076.0830000001</v>
      </c>
      <c r="F36" s="9">
        <v>2422062.809148428</v>
      </c>
      <c r="G36" s="9">
        <v>4980115.5696898093</v>
      </c>
      <c r="H36" s="9">
        <v>4886724.861627968</v>
      </c>
      <c r="I36" s="9">
        <v>5237327.0518498532</v>
      </c>
      <c r="J36" s="9">
        <v>5543815.638102632</v>
      </c>
      <c r="K36" s="9">
        <v>5846532.3639815301</v>
      </c>
      <c r="L36" s="9">
        <v>5786267.9006178174</v>
      </c>
      <c r="M36" s="9">
        <v>3918597.9576923102</v>
      </c>
      <c r="N36" s="9">
        <v>3614718.3308838583</v>
      </c>
      <c r="O36" s="9">
        <v>4375277.3143887082</v>
      </c>
      <c r="P36" s="9">
        <v>5481685.3179081641</v>
      </c>
      <c r="Q36" s="9">
        <v>6594552.9313478461</v>
      </c>
      <c r="R36" s="9">
        <v>7442705.1773853395</v>
      </c>
      <c r="S36" s="9">
        <v>7943093.6026065601</v>
      </c>
      <c r="T36" s="9">
        <v>8140697.8173515061</v>
      </c>
      <c r="U36" s="9">
        <v>8290580.6027462836</v>
      </c>
      <c r="V36" s="9">
        <v>8719028.5223452952</v>
      </c>
      <c r="W36" s="9">
        <v>9393319.5304091889</v>
      </c>
      <c r="X36" s="9">
        <v>11535905.15400729</v>
      </c>
      <c r="Y36" s="9">
        <v>12443255.846162971</v>
      </c>
      <c r="Z36" s="9">
        <v>15173964.397328924</v>
      </c>
      <c r="AA36" s="9">
        <v>17033994.848390657</v>
      </c>
      <c r="AB36" s="9">
        <v>15682268.924685379</v>
      </c>
      <c r="AC36" s="9">
        <v>14764929.550218875</v>
      </c>
      <c r="AD36" s="9">
        <v>14735583.213057395</v>
      </c>
      <c r="AE36" s="9">
        <v>14729596.690205507</v>
      </c>
      <c r="AF36" s="9">
        <v>15032474.785362754</v>
      </c>
      <c r="AG36" s="9">
        <v>15361866.6304374</v>
      </c>
      <c r="AH36" s="9">
        <v>16598239.298698613</v>
      </c>
      <c r="AI36" s="9">
        <v>18202898.018070146</v>
      </c>
      <c r="AJ36" s="9">
        <v>19156724.400197241</v>
      </c>
      <c r="AK36" s="9">
        <v>20839813.054027285</v>
      </c>
      <c r="AL36" s="9">
        <v>21926730.49794241</v>
      </c>
      <c r="AM36" s="9">
        <v>22219500.455278967</v>
      </c>
      <c r="AN36" s="9">
        <v>22174359.449464507</v>
      </c>
      <c r="AO36" s="9">
        <v>22310128.050825533</v>
      </c>
      <c r="AP36" s="9">
        <v>22337470.116980787</v>
      </c>
      <c r="AQ36" s="9">
        <v>22990112.07023</v>
      </c>
      <c r="AR36" s="9">
        <v>23585067.642220002</v>
      </c>
      <c r="AS36" s="9">
        <v>24425256.488619998</v>
      </c>
      <c r="AT36" s="9">
        <v>24665624.443459999</v>
      </c>
      <c r="AU36" s="9">
        <v>24636822.68786319</v>
      </c>
      <c r="AV36" s="9">
        <v>24489864.104665224</v>
      </c>
      <c r="AW36" s="9">
        <v>24187203.851884589</v>
      </c>
      <c r="AX36" s="9">
        <v>38897017</v>
      </c>
      <c r="AY36" s="9">
        <v>39997113.005145222</v>
      </c>
      <c r="AZ36" s="9">
        <v>32393704.918084871</v>
      </c>
      <c r="BA36" s="9">
        <v>30129516.974184085</v>
      </c>
      <c r="BB36" s="9">
        <v>29967560.620967384</v>
      </c>
      <c r="BC36" s="9">
        <v>28921913.638707802</v>
      </c>
      <c r="BD36" s="9">
        <v>27726100.476115637</v>
      </c>
      <c r="BE36" s="9">
        <v>29158130.556099132</v>
      </c>
      <c r="BF36" s="9">
        <v>29362122.689546086</v>
      </c>
      <c r="BG36" s="9">
        <v>30143917.095209878</v>
      </c>
      <c r="BH36" s="9">
        <v>29775822.849788204</v>
      </c>
      <c r="BI36" s="9">
        <v>27346057.810804065</v>
      </c>
      <c r="BJ36" s="9">
        <v>27706376.477802716</v>
      </c>
      <c r="BK36" s="9">
        <v>27027395.271371234</v>
      </c>
      <c r="BL36" s="9">
        <v>25790417.782157507</v>
      </c>
      <c r="BM36" s="9">
        <v>25398552.027286399</v>
      </c>
      <c r="BN36" s="9">
        <v>24966644.666335352</v>
      </c>
      <c r="BO36" s="9">
        <v>23811235.423492372</v>
      </c>
      <c r="BP36" s="9">
        <v>22743092.816108227</v>
      </c>
      <c r="BQ36" s="9">
        <v>22170305.888353467</v>
      </c>
      <c r="BR36" s="9">
        <v>20486882.49455576</v>
      </c>
      <c r="BS36" s="9">
        <v>19733822.479800787</v>
      </c>
      <c r="BT36" s="9">
        <v>18058097.696805492</v>
      </c>
      <c r="BU36" s="9">
        <v>15000477.114708601</v>
      </c>
    </row>
    <row r="37" spans="2:74" hidden="1" x14ac:dyDescent="0.2">
      <c r="B37" s="9"/>
      <c r="C37" s="9"/>
      <c r="D37" s="9"/>
      <c r="E37" s="9"/>
      <c r="F37" s="9"/>
      <c r="G37" s="9"/>
      <c r="H37" s="9"/>
      <c r="I37" s="9"/>
      <c r="J37" s="9"/>
      <c r="K37" s="9"/>
      <c r="L37" s="9"/>
      <c r="M37" s="9"/>
      <c r="N37" s="9"/>
      <c r="O37" s="9"/>
      <c r="P37" s="9"/>
      <c r="Q37" s="9"/>
      <c r="R37" s="9"/>
      <c r="S37" s="9"/>
      <c r="T37" s="9"/>
      <c r="U37" s="9"/>
      <c r="V37" s="9"/>
      <c r="W37" s="9"/>
      <c r="X37" s="9">
        <v>58055739.149410293</v>
      </c>
      <c r="Y37" s="9">
        <v>60528362.090315968</v>
      </c>
      <c r="Z37" s="9">
        <v>10287567</v>
      </c>
      <c r="AA37" s="9">
        <v>10528119</v>
      </c>
      <c r="AB37" s="9">
        <v>10476012</v>
      </c>
      <c r="AC37" s="9">
        <v>10634467</v>
      </c>
      <c r="AD37" s="9">
        <v>10659122</v>
      </c>
      <c r="AE37" s="9">
        <v>11176741</v>
      </c>
      <c r="AF37" s="9">
        <v>11226100</v>
      </c>
      <c r="AG37" s="9">
        <v>11199960</v>
      </c>
      <c r="AH37" s="9">
        <v>11281452.759999998</v>
      </c>
      <c r="AI37" s="9">
        <v>12553182.999999998</v>
      </c>
      <c r="AJ37" s="9">
        <v>12569338.629999999</v>
      </c>
      <c r="AK37" s="9">
        <v>15284017.530000005</v>
      </c>
      <c r="AL37" s="9">
        <v>17978184.549999997</v>
      </c>
      <c r="AM37" s="9">
        <v>18135821.18999999</v>
      </c>
      <c r="AN37" s="9">
        <v>18177042.73</v>
      </c>
      <c r="AO37" s="9">
        <v>21273840.029999997</v>
      </c>
      <c r="AP37" s="9">
        <v>21194167.110000003</v>
      </c>
      <c r="AQ37" s="9">
        <v>21488482.66</v>
      </c>
      <c r="AR37" s="9">
        <v>21713349.519999996</v>
      </c>
      <c r="AS37" s="9">
        <v>21956302.419999998</v>
      </c>
      <c r="AT37" s="9">
        <v>22095050.669999994</v>
      </c>
      <c r="AU37" s="9">
        <v>20692174.059999999</v>
      </c>
      <c r="AV37" s="9">
        <v>24059348.180000007</v>
      </c>
      <c r="AW37" s="9">
        <v>24516796.65000001</v>
      </c>
      <c r="AX37" s="9">
        <v>24841327.619999994</v>
      </c>
      <c r="AY37" s="9">
        <v>25101420.620000005</v>
      </c>
      <c r="AZ37" s="9">
        <v>25769447.909999996</v>
      </c>
      <c r="BA37" s="9">
        <v>26350314.649999995</v>
      </c>
      <c r="BB37" s="9">
        <v>26377363.868160006</v>
      </c>
      <c r="BC37" s="9">
        <v>27434679.030000005</v>
      </c>
      <c r="BD37" s="9">
        <v>27635863.669999994</v>
      </c>
      <c r="BE37" s="9">
        <v>28685270.69000002</v>
      </c>
      <c r="BF37" s="9">
        <v>28910684.022040006</v>
      </c>
      <c r="BG37" s="9">
        <v>27834791.846580017</v>
      </c>
      <c r="BH37" s="9">
        <v>28166314.783159994</v>
      </c>
      <c r="BI37" s="9">
        <v>29683500.438579995</v>
      </c>
      <c r="BJ37" s="9">
        <v>33157552.710819997</v>
      </c>
      <c r="BK37" s="9">
        <v>33168319.491</v>
      </c>
      <c r="BL37" s="9">
        <v>32159875.01517</v>
      </c>
      <c r="BM37" s="9">
        <v>31654012.403270025</v>
      </c>
      <c r="BN37" s="9">
        <v>31645958.680950001</v>
      </c>
      <c r="BO37" s="9">
        <v>31773225.861359991</v>
      </c>
      <c r="BP37" s="9">
        <v>32223164.836950012</v>
      </c>
      <c r="BQ37" s="9">
        <v>28071319.760309998</v>
      </c>
      <c r="BR37" s="9">
        <v>27853893.95099999</v>
      </c>
      <c r="BS37" s="9">
        <v>25693538.010000005</v>
      </c>
      <c r="BT37" s="9">
        <v>25527872.434370004</v>
      </c>
      <c r="BU37" s="9">
        <v>25512373.298890002</v>
      </c>
    </row>
    <row r="38" spans="2:74" hidden="1" x14ac:dyDescent="0.2">
      <c r="B38" s="9"/>
      <c r="C38" s="9"/>
      <c r="D38" s="9"/>
      <c r="E38" s="9"/>
      <c r="F38" s="9"/>
      <c r="G38" s="9"/>
      <c r="H38" s="9"/>
      <c r="I38" s="9"/>
      <c r="J38" s="9"/>
      <c r="K38" s="9"/>
      <c r="L38" s="9"/>
      <c r="M38" s="9"/>
      <c r="N38" s="9">
        <v>0</v>
      </c>
      <c r="O38" s="9">
        <v>0</v>
      </c>
      <c r="P38" s="9">
        <v>0</v>
      </c>
      <c r="Q38" s="9">
        <v>0</v>
      </c>
      <c r="R38" s="9">
        <v>0</v>
      </c>
      <c r="S38" s="9">
        <v>0</v>
      </c>
      <c r="T38" s="9">
        <v>0</v>
      </c>
      <c r="U38" s="9">
        <v>0</v>
      </c>
      <c r="V38" s="9">
        <v>0</v>
      </c>
      <c r="W38" s="9">
        <v>0</v>
      </c>
      <c r="X38" s="9">
        <v>2449566</v>
      </c>
      <c r="Y38" s="9">
        <v>2470118</v>
      </c>
      <c r="Z38" s="9">
        <v>2520999</v>
      </c>
      <c r="AA38" s="9">
        <v>2579712</v>
      </c>
      <c r="AB38" s="9">
        <v>2645303</v>
      </c>
      <c r="AC38" s="9">
        <v>2672774</v>
      </c>
      <c r="AD38" s="9">
        <v>2730997</v>
      </c>
      <c r="AE38" s="9">
        <v>2763046</v>
      </c>
      <c r="AF38" s="9">
        <v>2785930</v>
      </c>
      <c r="AG38" s="9">
        <v>2885115</v>
      </c>
      <c r="AH38" s="9">
        <v>2273982.7999999998</v>
      </c>
      <c r="AI38" s="9">
        <v>2355787.5699999998</v>
      </c>
      <c r="AJ38" s="9">
        <v>2498977.0099999998</v>
      </c>
      <c r="AK38" s="9">
        <v>2495078.11</v>
      </c>
      <c r="AL38" s="9">
        <v>2594008.35</v>
      </c>
      <c r="AM38" s="9">
        <v>2628398.23</v>
      </c>
      <c r="AN38" s="9">
        <v>2666998.9900000002</v>
      </c>
      <c r="AO38" s="9">
        <v>2661066.2799999998</v>
      </c>
      <c r="AP38" s="9">
        <v>2698630.04</v>
      </c>
      <c r="AQ38" s="9">
        <v>2741345.45</v>
      </c>
      <c r="AR38" s="9">
        <v>2756733.26</v>
      </c>
      <c r="AS38" s="9">
        <v>2787281.46</v>
      </c>
      <c r="AT38" s="9">
        <v>2828260.06</v>
      </c>
      <c r="AU38" s="9">
        <v>2919395.8</v>
      </c>
      <c r="AV38" s="9">
        <v>2933498.03</v>
      </c>
      <c r="AW38" s="9">
        <v>3059681.34</v>
      </c>
      <c r="AX38" s="9">
        <v>3094011.99</v>
      </c>
      <c r="AY38" s="9">
        <v>3116783.71</v>
      </c>
      <c r="AZ38" s="9">
        <v>3122221.39</v>
      </c>
      <c r="BA38" s="9">
        <v>3123232.57</v>
      </c>
      <c r="BB38" s="9">
        <v>3181087.58</v>
      </c>
      <c r="BC38" s="9">
        <v>3131619.91</v>
      </c>
      <c r="BD38" s="9">
        <v>3183628.02</v>
      </c>
      <c r="BE38" s="9">
        <v>3174038.84</v>
      </c>
      <c r="BF38" s="9">
        <v>3150798.52</v>
      </c>
      <c r="BG38" s="9">
        <v>3229784</v>
      </c>
      <c r="BH38" s="9">
        <v>3261048</v>
      </c>
      <c r="BI38" s="9">
        <v>3153950.64</v>
      </c>
      <c r="BJ38" s="9">
        <v>3118188.04</v>
      </c>
      <c r="BK38" s="9">
        <v>3106394.03</v>
      </c>
      <c r="BL38" s="9">
        <v>3101394.03</v>
      </c>
      <c r="BM38" s="9">
        <v>3065387</v>
      </c>
      <c r="BN38" s="9">
        <v>3096036</v>
      </c>
      <c r="BO38" s="9">
        <v>2766646</v>
      </c>
      <c r="BP38" s="9">
        <v>2766646</v>
      </c>
      <c r="BQ38" s="9">
        <v>2731683.7458600001</v>
      </c>
      <c r="BR38" s="9">
        <v>2707822.327</v>
      </c>
      <c r="BS38" s="9">
        <v>2638304.77</v>
      </c>
      <c r="BT38" s="9">
        <v>2610165.5318999998</v>
      </c>
      <c r="BU38" s="9">
        <v>2550933.5300099999</v>
      </c>
    </row>
    <row r="39" spans="2:74" hidden="1" x14ac:dyDescent="0.2">
      <c r="B39" s="9">
        <v>16861099.612000003</v>
      </c>
      <c r="C39" s="9">
        <v>14418408.944999998</v>
      </c>
      <c r="D39" s="9">
        <v>13000154.935999995</v>
      </c>
      <c r="E39" s="9">
        <v>16074078.023385014</v>
      </c>
      <c r="F39" s="9">
        <v>20932738.65894248</v>
      </c>
      <c r="G39" s="9">
        <v>21420087.408882931</v>
      </c>
      <c r="H39" s="9">
        <v>16989480.803457454</v>
      </c>
      <c r="I39" s="9">
        <v>12756330.453454304</v>
      </c>
      <c r="J39" s="9">
        <v>12517042.446158338</v>
      </c>
      <c r="K39" s="9">
        <v>10987347.475546747</v>
      </c>
      <c r="L39" s="9">
        <v>10309266.214425972</v>
      </c>
      <c r="M39" s="9">
        <v>11501886.737630311</v>
      </c>
      <c r="N39" s="9">
        <v>12315257.614748301</v>
      </c>
      <c r="O39" s="9">
        <v>13587181.280059416</v>
      </c>
      <c r="P39" s="9">
        <v>16300594.069337387</v>
      </c>
      <c r="Q39" s="9">
        <v>17612954.532603543</v>
      </c>
      <c r="R39" s="9">
        <v>24701617.906260781</v>
      </c>
      <c r="S39" s="9">
        <v>25364782.202835474</v>
      </c>
      <c r="T39" s="9">
        <v>25513272.564811334</v>
      </c>
      <c r="U39" s="9">
        <v>25910523.679616168</v>
      </c>
      <c r="V39" s="9">
        <v>25528776.695385017</v>
      </c>
      <c r="W39" s="9">
        <v>25554629.884671211</v>
      </c>
      <c r="X39" s="9">
        <v>23283167.399167378</v>
      </c>
      <c r="Y39" s="9">
        <v>23560579.009811472</v>
      </c>
      <c r="Z39" s="9">
        <v>26452339.147887092</v>
      </c>
      <c r="AA39" s="9">
        <v>26865765.601583969</v>
      </c>
      <c r="AB39" s="9">
        <v>26838523.083786041</v>
      </c>
      <c r="AC39" s="9">
        <v>27528737.832955644</v>
      </c>
      <c r="AD39" s="9">
        <v>27760568.412909489</v>
      </c>
      <c r="AE39" s="9">
        <v>28436284.860332124</v>
      </c>
      <c r="AF39" s="9">
        <v>28999456.426738869</v>
      </c>
      <c r="AG39" s="9">
        <v>29580266.445937123</v>
      </c>
      <c r="AH39" s="9">
        <v>36890502.881776243</v>
      </c>
      <c r="AI39" s="9">
        <v>37908933.747550957</v>
      </c>
      <c r="AJ39" s="9">
        <v>37111744.802009873</v>
      </c>
      <c r="AK39" s="9">
        <v>89486629.129675314</v>
      </c>
      <c r="AL39" s="9">
        <v>50861635.945752755</v>
      </c>
      <c r="AM39" s="9">
        <v>50262018.575390436</v>
      </c>
      <c r="AN39" s="9">
        <v>47527909.964195594</v>
      </c>
      <c r="AO39" s="9">
        <v>45215302.336725637</v>
      </c>
      <c r="AP39" s="9">
        <v>46756224.739893146</v>
      </c>
      <c r="AQ39" s="9">
        <v>50968232.811034836</v>
      </c>
      <c r="AR39" s="9">
        <v>51077650.641090013</v>
      </c>
      <c r="AS39" s="9">
        <v>38857165.929878913</v>
      </c>
      <c r="AT39" s="9">
        <v>38944754.50733</v>
      </c>
      <c r="AU39" s="9">
        <v>49761111.937933311</v>
      </c>
      <c r="AV39" s="9">
        <v>49286946.511252344</v>
      </c>
      <c r="AW39" s="9">
        <v>53671049.552489266</v>
      </c>
      <c r="AX39" s="9">
        <v>66771386.009999998</v>
      </c>
      <c r="AY39" s="9">
        <v>83956204.620233402</v>
      </c>
      <c r="AZ39" s="9">
        <v>100780033.28624475</v>
      </c>
      <c r="BA39" s="9">
        <v>100840825.07763973</v>
      </c>
      <c r="BB39" s="9">
        <v>102480606.12568204</v>
      </c>
      <c r="BC39" s="9">
        <v>96332393.807306409</v>
      </c>
      <c r="BD39" s="9">
        <v>99237882.785224989</v>
      </c>
      <c r="BE39" s="9">
        <v>101300661.7312078</v>
      </c>
      <c r="BF39" s="9">
        <v>102165847.78369842</v>
      </c>
      <c r="BG39" s="9">
        <v>97787167.291162506</v>
      </c>
      <c r="BH39" s="9">
        <v>97494346.67088373</v>
      </c>
      <c r="BI39" s="9">
        <v>125106834.14472865</v>
      </c>
      <c r="BJ39" s="9">
        <v>121940797.39590071</v>
      </c>
      <c r="BK39" s="9">
        <v>108215307.65745096</v>
      </c>
      <c r="BL39" s="9">
        <v>92627741.466914594</v>
      </c>
      <c r="BM39" s="9">
        <v>92951620.978041023</v>
      </c>
      <c r="BN39" s="9">
        <v>100001781.94705018</v>
      </c>
      <c r="BO39" s="9">
        <v>90266518.310648873</v>
      </c>
      <c r="BP39" s="9">
        <v>89768479.680929035</v>
      </c>
      <c r="BQ39" s="9">
        <v>93752291.955153137</v>
      </c>
      <c r="BR39" s="9">
        <v>94298065.439809144</v>
      </c>
      <c r="BS39" s="9">
        <v>95119985.828961059</v>
      </c>
      <c r="BT39" s="9">
        <v>96181457.288782254</v>
      </c>
      <c r="BU39" s="9">
        <v>96715636.407832086</v>
      </c>
    </row>
    <row r="40" spans="2:74" hidden="1" x14ac:dyDescent="0.2"/>
    <row r="41" spans="2:74" hidden="1" x14ac:dyDescent="0.2">
      <c r="B41" s="5">
        <f t="shared" ref="B41:B47" si="6">+B33/1000</f>
        <v>1545.2155909999999</v>
      </c>
      <c r="C41" s="5">
        <f t="shared" ref="C41:BN42" si="7">+C33/1000</f>
        <v>3630.1986879999999</v>
      </c>
      <c r="D41" s="5">
        <f t="shared" si="7"/>
        <v>5790.1182479999998</v>
      </c>
      <c r="E41" s="5">
        <f t="shared" si="7"/>
        <v>5746.5935820000004</v>
      </c>
      <c r="F41" s="5">
        <f t="shared" si="7"/>
        <v>3120</v>
      </c>
      <c r="G41" s="5">
        <f t="shared" si="7"/>
        <v>1582.1230069999999</v>
      </c>
      <c r="H41" s="5">
        <f t="shared" si="7"/>
        <v>4621.3150379999997</v>
      </c>
      <c r="I41" s="5">
        <f t="shared" si="7"/>
        <v>8787.2995019999998</v>
      </c>
      <c r="J41" s="5">
        <f t="shared" si="7"/>
        <v>10761.854915999998</v>
      </c>
      <c r="K41" s="5">
        <f t="shared" si="7"/>
        <v>12730.286043</v>
      </c>
      <c r="L41" s="5">
        <f t="shared" si="7"/>
        <v>14557.137044999999</v>
      </c>
      <c r="M41" s="5">
        <f t="shared" si="7"/>
        <v>19588.115727959997</v>
      </c>
      <c r="N41" s="5">
        <f t="shared" si="7"/>
        <v>23279.032913102001</v>
      </c>
      <c r="O41" s="5">
        <f t="shared" si="7"/>
        <v>25648.525598344</v>
      </c>
      <c r="P41" s="5">
        <f t="shared" si="7"/>
        <v>27619.800470504</v>
      </c>
      <c r="Q41" s="5">
        <f t="shared" si="7"/>
        <v>29981.275472232002</v>
      </c>
      <c r="R41" s="5">
        <f t="shared" si="7"/>
        <v>34240.606203702002</v>
      </c>
      <c r="S41" s="5">
        <f t="shared" si="7"/>
        <v>36193.884092401</v>
      </c>
      <c r="T41" s="5">
        <f t="shared" si="7"/>
        <v>36496.103310056002</v>
      </c>
      <c r="U41" s="5">
        <f t="shared" si="7"/>
        <v>41667.831883721003</v>
      </c>
      <c r="V41" s="5">
        <f t="shared" si="7"/>
        <v>40817.427730333002</v>
      </c>
      <c r="W41" s="5">
        <f t="shared" si="7"/>
        <v>43250.903936658993</v>
      </c>
      <c r="X41" s="5">
        <f t="shared" si="7"/>
        <v>46519.833995403002</v>
      </c>
      <c r="Y41" s="5">
        <f t="shared" si="7"/>
        <v>48076.521074152995</v>
      </c>
      <c r="Z41" s="5">
        <f t="shared" si="7"/>
        <v>49008.687118005</v>
      </c>
      <c r="AA41" s="5">
        <f t="shared" si="7"/>
        <v>51409.000572104007</v>
      </c>
      <c r="AB41" s="5">
        <f t="shared" si="7"/>
        <v>53674.224581905997</v>
      </c>
      <c r="AC41" s="5">
        <f t="shared" si="7"/>
        <v>54737.383031614001</v>
      </c>
      <c r="AD41" s="5">
        <f t="shared" si="7"/>
        <v>52453.576589548</v>
      </c>
      <c r="AE41" s="5">
        <f t="shared" si="7"/>
        <v>53495.070168735001</v>
      </c>
      <c r="AF41" s="5">
        <f t="shared" si="7"/>
        <v>56661.504034960999</v>
      </c>
      <c r="AG41" s="5">
        <f t="shared" si="7"/>
        <v>59389.321140223867</v>
      </c>
      <c r="AH41" s="5">
        <f t="shared" si="7"/>
        <v>60086.564673955014</v>
      </c>
      <c r="AI41" s="5">
        <f t="shared" si="7"/>
        <v>62730.943408684267</v>
      </c>
      <c r="AJ41" s="5">
        <f t="shared" si="7"/>
        <v>57394.559550353071</v>
      </c>
      <c r="AK41" s="5">
        <f t="shared" si="7"/>
        <v>66825.492541639265</v>
      </c>
      <c r="AL41" s="5">
        <f t="shared" si="7"/>
        <v>66448.208131295105</v>
      </c>
      <c r="AM41" s="5">
        <f t="shared" si="7"/>
        <v>69770.376535115123</v>
      </c>
      <c r="AN41" s="5">
        <f t="shared" si="7"/>
        <v>76107.74332384429</v>
      </c>
      <c r="AO41" s="5">
        <f t="shared" si="7"/>
        <v>76270.662667104567</v>
      </c>
      <c r="AP41" s="5">
        <f t="shared" si="7"/>
        <v>69514.888099382879</v>
      </c>
      <c r="AQ41" s="5">
        <f t="shared" si="7"/>
        <v>58214.984051289997</v>
      </c>
      <c r="AR41" s="5">
        <f t="shared" si="7"/>
        <v>39994.121768300007</v>
      </c>
      <c r="AS41" s="5">
        <f t="shared" si="7"/>
        <v>27963.580378940002</v>
      </c>
      <c r="AT41" s="5">
        <f t="shared" si="7"/>
        <v>17827.879587859999</v>
      </c>
      <c r="AU41" s="5">
        <f t="shared" si="7"/>
        <v>8519.3963153099994</v>
      </c>
      <c r="AV41" s="5">
        <f t="shared" si="7"/>
        <v>4822.1197712399999</v>
      </c>
      <c r="AW41" s="5">
        <f t="shared" si="7"/>
        <v>4913.8390948599999</v>
      </c>
      <c r="AX41" s="5">
        <f t="shared" si="7"/>
        <v>5007.3050000000003</v>
      </c>
      <c r="AY41" s="5">
        <f t="shared" si="7"/>
        <v>5093.2559064800007</v>
      </c>
      <c r="AZ41" s="5">
        <f t="shared" si="7"/>
        <v>4359.5906633300001</v>
      </c>
      <c r="BA41" s="5">
        <f t="shared" si="7"/>
        <v>8981.2122464900003</v>
      </c>
      <c r="BB41" s="5">
        <f t="shared" si="7"/>
        <v>16219.948091550003</v>
      </c>
      <c r="BC41" s="5">
        <f t="shared" si="7"/>
        <v>25806.013960510001</v>
      </c>
      <c r="BD41" s="5">
        <f t="shared" si="7"/>
        <v>26983.977055720003</v>
      </c>
      <c r="BE41" s="5">
        <f t="shared" si="7"/>
        <v>33976.239324280003</v>
      </c>
      <c r="BF41" s="5">
        <f t="shared" si="7"/>
        <v>37047.617512299999</v>
      </c>
      <c r="BG41" s="5">
        <f t="shared" si="7"/>
        <v>47659.364560000002</v>
      </c>
      <c r="BH41" s="5">
        <f t="shared" si="7"/>
        <v>46773.095797959999</v>
      </c>
      <c r="BI41" s="5">
        <f t="shared" si="7"/>
        <v>39716.560461629997</v>
      </c>
      <c r="BJ41" s="5">
        <f t="shared" si="7"/>
        <v>42790.198618020004</v>
      </c>
      <c r="BK41" s="5">
        <f t="shared" si="7"/>
        <v>47244.245662830006</v>
      </c>
      <c r="BL41" s="5">
        <f t="shared" si="7"/>
        <v>56743.328080120002</v>
      </c>
      <c r="BM41" s="5">
        <f t="shared" si="7"/>
        <v>64720.953969840004</v>
      </c>
      <c r="BN41" s="5">
        <f t="shared" si="7"/>
        <v>61290.239762309997</v>
      </c>
      <c r="BO41" s="5">
        <f t="shared" ref="BO41:BV45" si="8">+BO33/1000</f>
        <v>65432.150396030003</v>
      </c>
      <c r="BP41" s="5">
        <f t="shared" si="8"/>
        <v>68607.58168689</v>
      </c>
      <c r="BQ41" s="5">
        <f t="shared" si="8"/>
        <v>72461.365402750002</v>
      </c>
      <c r="BR41" s="5">
        <f t="shared" si="8"/>
        <v>77352.887142089996</v>
      </c>
      <c r="BS41" s="5">
        <f t="shared" si="8"/>
        <v>79521.968664700005</v>
      </c>
      <c r="BT41" s="5">
        <f t="shared" si="8"/>
        <v>74508.454217559993</v>
      </c>
      <c r="BU41" s="5">
        <f t="shared" si="8"/>
        <v>75438.026360909993</v>
      </c>
      <c r="BV41" s="5">
        <f t="shared" si="8"/>
        <v>0</v>
      </c>
    </row>
    <row r="42" spans="2:74" hidden="1" x14ac:dyDescent="0.2">
      <c r="B42" s="5">
        <f t="shared" si="6"/>
        <v>8531.6793959999995</v>
      </c>
      <c r="C42" s="5">
        <f t="shared" ref="C42:Q42" si="9">+C34/1000</f>
        <v>10379.642883999999</v>
      </c>
      <c r="D42" s="5">
        <f t="shared" si="9"/>
        <v>12947.058005000001</v>
      </c>
      <c r="E42" s="5">
        <f t="shared" si="9"/>
        <v>13536.694771</v>
      </c>
      <c r="F42" s="5">
        <f t="shared" si="9"/>
        <v>13766.869000000001</v>
      </c>
      <c r="G42" s="5">
        <f t="shared" si="9"/>
        <v>15888.043</v>
      </c>
      <c r="H42" s="5">
        <f t="shared" si="9"/>
        <v>16517.069500000001</v>
      </c>
      <c r="I42" s="5">
        <f t="shared" si="9"/>
        <v>17140.012999999999</v>
      </c>
      <c r="J42" s="5">
        <f t="shared" si="9"/>
        <v>17698.230500000001</v>
      </c>
      <c r="K42" s="5">
        <f t="shared" si="9"/>
        <v>18233.841</v>
      </c>
      <c r="L42" s="5">
        <f t="shared" si="9"/>
        <v>18746.224999999999</v>
      </c>
      <c r="M42" s="5">
        <f t="shared" si="9"/>
        <v>18460.282500000001</v>
      </c>
      <c r="N42" s="5">
        <f t="shared" si="9"/>
        <v>14216.305</v>
      </c>
      <c r="O42" s="5">
        <f t="shared" si="9"/>
        <v>12211.233</v>
      </c>
      <c r="P42" s="5">
        <f t="shared" si="9"/>
        <v>7089.6705000000002</v>
      </c>
      <c r="Q42" s="5">
        <f t="shared" si="9"/>
        <v>4972.0985000000001</v>
      </c>
      <c r="R42" s="5">
        <f t="shared" si="7"/>
        <v>2121.5250000000001</v>
      </c>
      <c r="S42" s="5">
        <f t="shared" si="7"/>
        <v>0</v>
      </c>
      <c r="T42" s="5">
        <f t="shared" si="7"/>
        <v>0</v>
      </c>
      <c r="U42" s="5">
        <f t="shared" si="7"/>
        <v>0</v>
      </c>
      <c r="V42" s="5">
        <f t="shared" si="7"/>
        <v>0</v>
      </c>
      <c r="W42" s="5">
        <f t="shared" si="7"/>
        <v>0</v>
      </c>
      <c r="X42" s="5">
        <f t="shared" si="7"/>
        <v>0</v>
      </c>
      <c r="Y42" s="5">
        <f t="shared" si="7"/>
        <v>0</v>
      </c>
      <c r="Z42" s="5">
        <f t="shared" si="7"/>
        <v>0</v>
      </c>
      <c r="AA42" s="5">
        <f t="shared" si="7"/>
        <v>0</v>
      </c>
      <c r="AB42" s="5">
        <f t="shared" si="7"/>
        <v>0</v>
      </c>
      <c r="AC42" s="5">
        <f t="shared" si="7"/>
        <v>0</v>
      </c>
      <c r="AD42" s="5">
        <f t="shared" si="7"/>
        <v>0</v>
      </c>
      <c r="AE42" s="5">
        <f t="shared" si="7"/>
        <v>0</v>
      </c>
      <c r="AF42" s="5">
        <f t="shared" si="7"/>
        <v>0</v>
      </c>
      <c r="AG42" s="5">
        <f t="shared" si="7"/>
        <v>0</v>
      </c>
      <c r="AH42" s="5">
        <f t="shared" si="7"/>
        <v>0</v>
      </c>
      <c r="AI42" s="5">
        <f t="shared" si="7"/>
        <v>0</v>
      </c>
      <c r="AJ42" s="5">
        <f t="shared" si="7"/>
        <v>0</v>
      </c>
      <c r="AK42" s="5">
        <f t="shared" si="7"/>
        <v>14913.102563599998</v>
      </c>
      <c r="AL42" s="5">
        <f t="shared" si="7"/>
        <v>15292.957918</v>
      </c>
      <c r="AM42" s="5">
        <f t="shared" si="7"/>
        <v>15618.666238600001</v>
      </c>
      <c r="AN42" s="5">
        <f t="shared" si="7"/>
        <v>15962.3907776</v>
      </c>
      <c r="AO42" s="5">
        <f t="shared" si="7"/>
        <v>14871.834447233694</v>
      </c>
      <c r="AP42" s="5">
        <f t="shared" si="7"/>
        <v>15114.250550725892</v>
      </c>
      <c r="AQ42" s="5">
        <f t="shared" si="7"/>
        <v>33490.000079229998</v>
      </c>
      <c r="AR42" s="5">
        <f t="shared" si="7"/>
        <v>59333.593176679999</v>
      </c>
      <c r="AS42" s="5">
        <f t="shared" si="7"/>
        <v>81519.991266719997</v>
      </c>
      <c r="AT42" s="5">
        <f t="shared" si="7"/>
        <v>89804.353264150006</v>
      </c>
      <c r="AU42" s="5">
        <f t="shared" si="7"/>
        <v>108404.50020365001</v>
      </c>
      <c r="AV42" s="5">
        <f t="shared" si="7"/>
        <v>117860.98177779002</v>
      </c>
      <c r="AW42" s="5">
        <f t="shared" si="7"/>
        <v>128553.29148157001</v>
      </c>
      <c r="AX42" s="5">
        <f t="shared" si="7"/>
        <v>116324.16499999999</v>
      </c>
      <c r="AY42" s="5">
        <f t="shared" si="7"/>
        <v>102915.13685861</v>
      </c>
      <c r="AZ42" s="5">
        <f t="shared" si="7"/>
        <v>99466.580743660001</v>
      </c>
      <c r="BA42" s="5">
        <f t="shared" si="7"/>
        <v>113104.68808284</v>
      </c>
      <c r="BB42" s="5">
        <f t="shared" si="7"/>
        <v>124817.40520374</v>
      </c>
      <c r="BC42" s="5">
        <f t="shared" si="7"/>
        <v>130505.69379215001</v>
      </c>
      <c r="BD42" s="5">
        <f t="shared" si="7"/>
        <v>130254.38472142001</v>
      </c>
      <c r="BE42" s="5">
        <f t="shared" si="7"/>
        <v>128530.53780506</v>
      </c>
      <c r="BF42" s="5">
        <f t="shared" si="7"/>
        <v>134563.86886808</v>
      </c>
      <c r="BG42" s="5">
        <f t="shared" si="7"/>
        <v>143847.03127790999</v>
      </c>
      <c r="BH42" s="5">
        <f t="shared" si="7"/>
        <v>149693.74069732003</v>
      </c>
      <c r="BI42" s="5">
        <f t="shared" si="7"/>
        <v>151128.11852846001</v>
      </c>
      <c r="BJ42" s="5">
        <f t="shared" si="7"/>
        <v>161715.87055078999</v>
      </c>
      <c r="BK42" s="5">
        <f t="shared" si="7"/>
        <v>175934.17174665001</v>
      </c>
      <c r="BL42" s="5">
        <f t="shared" si="7"/>
        <v>189781.60236014004</v>
      </c>
      <c r="BM42" s="5">
        <f t="shared" si="7"/>
        <v>186330.23164427004</v>
      </c>
      <c r="BN42" s="5">
        <f t="shared" si="7"/>
        <v>194760.09883589004</v>
      </c>
      <c r="BO42" s="5">
        <f t="shared" si="8"/>
        <v>206642.71992422</v>
      </c>
      <c r="BP42" s="5">
        <f t="shared" si="8"/>
        <v>206883.06862077999</v>
      </c>
      <c r="BQ42" s="5">
        <f t="shared" si="8"/>
        <v>199262.00488725002</v>
      </c>
      <c r="BR42" s="5">
        <f t="shared" si="8"/>
        <v>202021.70106816999</v>
      </c>
      <c r="BS42" s="5">
        <f t="shared" si="8"/>
        <v>201706.14473931</v>
      </c>
      <c r="BT42" s="5">
        <f t="shared" si="8"/>
        <v>202450.34615955999</v>
      </c>
      <c r="BU42" s="5">
        <f t="shared" si="8"/>
        <v>204850.21704145003</v>
      </c>
      <c r="BV42" s="5">
        <f t="shared" si="8"/>
        <v>0</v>
      </c>
    </row>
    <row r="43" spans="2:74" hidden="1" x14ac:dyDescent="0.2">
      <c r="B43" s="5">
        <f t="shared" si="6"/>
        <v>0</v>
      </c>
      <c r="C43" s="5">
        <f t="shared" ref="C43:BN46" si="10">+C35/1000</f>
        <v>0</v>
      </c>
      <c r="D43" s="5">
        <f t="shared" si="10"/>
        <v>0</v>
      </c>
      <c r="E43" s="5">
        <f t="shared" si="10"/>
        <v>0</v>
      </c>
      <c r="F43" s="5">
        <f t="shared" si="10"/>
        <v>0</v>
      </c>
      <c r="G43" s="5">
        <f t="shared" si="10"/>
        <v>0</v>
      </c>
      <c r="H43" s="5">
        <f t="shared" si="10"/>
        <v>0</v>
      </c>
      <c r="I43" s="5">
        <f t="shared" si="10"/>
        <v>0</v>
      </c>
      <c r="J43" s="5">
        <f t="shared" si="10"/>
        <v>0</v>
      </c>
      <c r="K43" s="5">
        <f t="shared" si="10"/>
        <v>0</v>
      </c>
      <c r="L43" s="5">
        <f t="shared" si="10"/>
        <v>0</v>
      </c>
      <c r="M43" s="5">
        <f t="shared" si="10"/>
        <v>333.4187</v>
      </c>
      <c r="N43" s="5">
        <f t="shared" si="10"/>
        <v>0</v>
      </c>
      <c r="O43" s="5">
        <f t="shared" si="10"/>
        <v>0</v>
      </c>
      <c r="P43" s="5">
        <f t="shared" si="10"/>
        <v>0</v>
      </c>
      <c r="Q43" s="5">
        <f t="shared" si="10"/>
        <v>0</v>
      </c>
      <c r="R43" s="5">
        <f t="shared" si="10"/>
        <v>0</v>
      </c>
      <c r="S43" s="5">
        <f t="shared" si="10"/>
        <v>0</v>
      </c>
      <c r="T43" s="5">
        <f t="shared" si="10"/>
        <v>0</v>
      </c>
      <c r="U43" s="5">
        <f t="shared" si="10"/>
        <v>0</v>
      </c>
      <c r="V43" s="5">
        <f t="shared" si="10"/>
        <v>0</v>
      </c>
      <c r="W43" s="5">
        <f t="shared" si="10"/>
        <v>0</v>
      </c>
      <c r="X43" s="5">
        <f t="shared" si="10"/>
        <v>0</v>
      </c>
      <c r="Y43" s="5">
        <f t="shared" si="10"/>
        <v>8.5851699999999997</v>
      </c>
      <c r="Z43" s="5">
        <f t="shared" si="10"/>
        <v>0</v>
      </c>
      <c r="AA43" s="5">
        <f t="shared" si="10"/>
        <v>0</v>
      </c>
      <c r="AB43" s="5">
        <f t="shared" si="10"/>
        <v>0</v>
      </c>
      <c r="AC43" s="5">
        <f t="shared" si="10"/>
        <v>0</v>
      </c>
      <c r="AD43" s="5">
        <f t="shared" si="10"/>
        <v>0</v>
      </c>
      <c r="AE43" s="5">
        <f t="shared" si="10"/>
        <v>0</v>
      </c>
      <c r="AF43" s="5">
        <f t="shared" si="10"/>
        <v>0</v>
      </c>
      <c r="AG43" s="5">
        <f t="shared" si="10"/>
        <v>0</v>
      </c>
      <c r="AH43" s="5">
        <f t="shared" si="10"/>
        <v>0</v>
      </c>
      <c r="AI43" s="5">
        <f t="shared" si="10"/>
        <v>0</v>
      </c>
      <c r="AJ43" s="5">
        <f t="shared" si="10"/>
        <v>0</v>
      </c>
      <c r="AK43" s="5">
        <f t="shared" si="10"/>
        <v>0</v>
      </c>
      <c r="AL43" s="5">
        <f t="shared" si="10"/>
        <v>0</v>
      </c>
      <c r="AM43" s="5">
        <f t="shared" si="10"/>
        <v>0</v>
      </c>
      <c r="AN43" s="5">
        <f t="shared" si="10"/>
        <v>0</v>
      </c>
      <c r="AO43" s="5">
        <f t="shared" si="10"/>
        <v>0</v>
      </c>
      <c r="AP43" s="5">
        <f t="shared" si="10"/>
        <v>0</v>
      </c>
      <c r="AQ43" s="5">
        <f t="shared" si="10"/>
        <v>0</v>
      </c>
      <c r="AR43" s="5">
        <f t="shared" si="10"/>
        <v>0</v>
      </c>
      <c r="AS43" s="5">
        <f t="shared" si="10"/>
        <v>0</v>
      </c>
      <c r="AT43" s="5">
        <f t="shared" si="10"/>
        <v>0</v>
      </c>
      <c r="AU43" s="5">
        <f t="shared" si="10"/>
        <v>0</v>
      </c>
      <c r="AV43" s="5">
        <f t="shared" si="10"/>
        <v>0</v>
      </c>
      <c r="AW43" s="5">
        <f t="shared" si="10"/>
        <v>0</v>
      </c>
      <c r="AX43" s="5">
        <f t="shared" si="10"/>
        <v>0</v>
      </c>
      <c r="AY43" s="5">
        <f t="shared" si="10"/>
        <v>0</v>
      </c>
      <c r="AZ43" s="5">
        <f t="shared" si="10"/>
        <v>0</v>
      </c>
      <c r="BA43" s="5">
        <f t="shared" si="10"/>
        <v>0</v>
      </c>
      <c r="BB43" s="5">
        <f t="shared" si="10"/>
        <v>0</v>
      </c>
      <c r="BC43" s="5">
        <f t="shared" si="10"/>
        <v>0</v>
      </c>
      <c r="BD43" s="5">
        <f t="shared" si="10"/>
        <v>0</v>
      </c>
      <c r="BE43" s="5">
        <f t="shared" si="10"/>
        <v>0</v>
      </c>
      <c r="BF43" s="5">
        <f t="shared" si="10"/>
        <v>0</v>
      </c>
      <c r="BG43" s="5">
        <f t="shared" si="10"/>
        <v>0</v>
      </c>
      <c r="BH43" s="5">
        <f t="shared" si="10"/>
        <v>0</v>
      </c>
      <c r="BI43" s="5">
        <f t="shared" si="10"/>
        <v>830.60273737999989</v>
      </c>
      <c r="BJ43" s="5">
        <f t="shared" si="10"/>
        <v>850.48248390999993</v>
      </c>
      <c r="BK43" s="5">
        <f t="shared" si="10"/>
        <v>1720.4370748900001</v>
      </c>
      <c r="BL43" s="5">
        <f t="shared" si="10"/>
        <v>2603.20604271</v>
      </c>
      <c r="BM43" s="5">
        <f t="shared" si="10"/>
        <v>4301.2894519699994</v>
      </c>
      <c r="BN43" s="5">
        <f t="shared" si="10"/>
        <v>4406.6433359800012</v>
      </c>
      <c r="BO43" s="5">
        <f t="shared" si="8"/>
        <v>4335.6431251600006</v>
      </c>
      <c r="BP43" s="5">
        <f t="shared" si="8"/>
        <v>4641.0699551200005</v>
      </c>
      <c r="BQ43" s="5">
        <f t="shared" si="8"/>
        <v>5343.5576163900005</v>
      </c>
      <c r="BR43" s="5">
        <f t="shared" si="8"/>
        <v>5913.4731929400004</v>
      </c>
      <c r="BS43" s="5">
        <f t="shared" si="8"/>
        <v>6453.9903429599999</v>
      </c>
      <c r="BT43" s="5">
        <f t="shared" si="8"/>
        <v>6805.3255657099999</v>
      </c>
      <c r="BU43" s="5">
        <f t="shared" si="8"/>
        <v>7022.4584064800001</v>
      </c>
      <c r="BV43" s="5">
        <f t="shared" si="8"/>
        <v>0</v>
      </c>
    </row>
    <row r="44" spans="2:74" hidden="1" x14ac:dyDescent="0.2">
      <c r="B44" s="5">
        <f t="shared" si="6"/>
        <v>4730.1085300000004</v>
      </c>
      <c r="C44" s="5">
        <f t="shared" si="10"/>
        <v>5407.9416960000008</v>
      </c>
      <c r="D44" s="5">
        <f t="shared" si="10"/>
        <v>3433.494342</v>
      </c>
      <c r="E44" s="5">
        <f t="shared" si="10"/>
        <v>2701.0760829999999</v>
      </c>
      <c r="F44" s="5">
        <f t="shared" si="10"/>
        <v>2422.0628091484282</v>
      </c>
      <c r="G44" s="5">
        <f t="shared" si="10"/>
        <v>4980.1155696898095</v>
      </c>
      <c r="H44" s="5">
        <f t="shared" si="10"/>
        <v>4886.7248616279676</v>
      </c>
      <c r="I44" s="5">
        <f t="shared" si="10"/>
        <v>5237.327051849853</v>
      </c>
      <c r="J44" s="5">
        <f t="shared" si="10"/>
        <v>5543.815638102632</v>
      </c>
      <c r="K44" s="5">
        <f t="shared" si="10"/>
        <v>5846.5323639815297</v>
      </c>
      <c r="L44" s="5">
        <f t="shared" si="10"/>
        <v>5786.2679006178178</v>
      </c>
      <c r="M44" s="5">
        <f t="shared" si="10"/>
        <v>3918.59795769231</v>
      </c>
      <c r="N44" s="5">
        <f t="shared" si="10"/>
        <v>3614.7183308838585</v>
      </c>
      <c r="O44" s="5">
        <f t="shared" si="10"/>
        <v>4375.277314388708</v>
      </c>
      <c r="P44" s="5">
        <f t="shared" si="10"/>
        <v>5481.6853179081645</v>
      </c>
      <c r="Q44" s="5">
        <f t="shared" si="10"/>
        <v>6594.5529313478464</v>
      </c>
      <c r="R44" s="5">
        <f t="shared" si="10"/>
        <v>7442.7051773853391</v>
      </c>
      <c r="S44" s="5">
        <f t="shared" si="10"/>
        <v>7943.0936026065601</v>
      </c>
      <c r="T44" s="5">
        <f t="shared" si="10"/>
        <v>8140.6978173515063</v>
      </c>
      <c r="U44" s="5">
        <f t="shared" si="10"/>
        <v>8290.5806027462841</v>
      </c>
      <c r="V44" s="5">
        <f t="shared" si="10"/>
        <v>8719.0285223452956</v>
      </c>
      <c r="W44" s="5">
        <f t="shared" si="10"/>
        <v>9393.3195304091896</v>
      </c>
      <c r="X44" s="5">
        <f t="shared" si="10"/>
        <v>11535.905154007289</v>
      </c>
      <c r="Y44" s="5">
        <f t="shared" si="10"/>
        <v>12443.255846162971</v>
      </c>
      <c r="Z44" s="5">
        <f t="shared" si="10"/>
        <v>15173.964397328924</v>
      </c>
      <c r="AA44" s="5">
        <f t="shared" si="10"/>
        <v>17033.994848390659</v>
      </c>
      <c r="AB44" s="5">
        <f t="shared" si="10"/>
        <v>15682.268924685379</v>
      </c>
      <c r="AC44" s="5">
        <f t="shared" si="10"/>
        <v>14764.929550218874</v>
      </c>
      <c r="AD44" s="5">
        <f t="shared" si="10"/>
        <v>14735.583213057394</v>
      </c>
      <c r="AE44" s="5">
        <f t="shared" si="10"/>
        <v>14729.596690205506</v>
      </c>
      <c r="AF44" s="5">
        <f t="shared" si="10"/>
        <v>15032.474785362754</v>
      </c>
      <c r="AG44" s="5">
        <f t="shared" si="10"/>
        <v>15361.8666304374</v>
      </c>
      <c r="AH44" s="5">
        <f t="shared" si="10"/>
        <v>16598.239298698612</v>
      </c>
      <c r="AI44" s="5">
        <f t="shared" si="10"/>
        <v>18202.898018070147</v>
      </c>
      <c r="AJ44" s="5">
        <f t="shared" si="10"/>
        <v>19156.724400197243</v>
      </c>
      <c r="AK44" s="5">
        <f t="shared" si="10"/>
        <v>20839.813054027287</v>
      </c>
      <c r="AL44" s="5">
        <f t="shared" si="10"/>
        <v>21926.730497942412</v>
      </c>
      <c r="AM44" s="5">
        <f t="shared" si="10"/>
        <v>22219.500455278965</v>
      </c>
      <c r="AN44" s="5">
        <f t="shared" si="10"/>
        <v>22174.359449464508</v>
      </c>
      <c r="AO44" s="5">
        <f t="shared" si="10"/>
        <v>22310.128050825533</v>
      </c>
      <c r="AP44" s="5">
        <f t="shared" si="10"/>
        <v>22337.470116980789</v>
      </c>
      <c r="AQ44" s="5">
        <f t="shared" si="10"/>
        <v>22990.11207023</v>
      </c>
      <c r="AR44" s="5">
        <f t="shared" si="10"/>
        <v>23585.067642220001</v>
      </c>
      <c r="AS44" s="5">
        <f t="shared" si="10"/>
        <v>24425.256488619998</v>
      </c>
      <c r="AT44" s="5">
        <f t="shared" si="10"/>
        <v>24665.624443459998</v>
      </c>
      <c r="AU44" s="5">
        <f t="shared" si="10"/>
        <v>24636.82268786319</v>
      </c>
      <c r="AV44" s="5">
        <f t="shared" si="10"/>
        <v>24489.864104665223</v>
      </c>
      <c r="AW44" s="5">
        <f t="shared" si="10"/>
        <v>24187.203851884587</v>
      </c>
      <c r="AX44" s="5">
        <f t="shared" si="10"/>
        <v>38897.017</v>
      </c>
      <c r="AY44" s="5">
        <f t="shared" si="10"/>
        <v>39997.11300514522</v>
      </c>
      <c r="AZ44" s="5">
        <f t="shared" si="10"/>
        <v>32393.70491808487</v>
      </c>
      <c r="BA44" s="5">
        <f t="shared" si="10"/>
        <v>30129.516974184084</v>
      </c>
      <c r="BB44" s="5">
        <f t="shared" si="10"/>
        <v>29967.560620967386</v>
      </c>
      <c r="BC44" s="5">
        <f t="shared" si="10"/>
        <v>28921.913638707803</v>
      </c>
      <c r="BD44" s="5">
        <f t="shared" si="10"/>
        <v>27726.100476115636</v>
      </c>
      <c r="BE44" s="5">
        <f t="shared" si="10"/>
        <v>29158.130556099131</v>
      </c>
      <c r="BF44" s="5">
        <f t="shared" si="10"/>
        <v>29362.122689546086</v>
      </c>
      <c r="BG44" s="5">
        <f t="shared" si="10"/>
        <v>30143.917095209879</v>
      </c>
      <c r="BH44" s="5">
        <f t="shared" si="10"/>
        <v>29775.822849788205</v>
      </c>
      <c r="BI44" s="5">
        <f t="shared" si="10"/>
        <v>27346.057810804065</v>
      </c>
      <c r="BJ44" s="5">
        <f t="shared" si="10"/>
        <v>27706.376477802718</v>
      </c>
      <c r="BK44" s="5">
        <f t="shared" si="10"/>
        <v>27027.395271371235</v>
      </c>
      <c r="BL44" s="5">
        <f t="shared" si="10"/>
        <v>25790.417782157507</v>
      </c>
      <c r="BM44" s="5">
        <f t="shared" si="10"/>
        <v>25398.552027286398</v>
      </c>
      <c r="BN44" s="5">
        <f t="shared" si="10"/>
        <v>24966.644666335353</v>
      </c>
      <c r="BO44" s="5">
        <f t="shared" si="8"/>
        <v>23811.235423492373</v>
      </c>
      <c r="BP44" s="5">
        <f t="shared" si="8"/>
        <v>22743.092816108227</v>
      </c>
      <c r="BQ44" s="5">
        <f t="shared" si="8"/>
        <v>22170.305888353469</v>
      </c>
      <c r="BR44" s="5">
        <f t="shared" si="8"/>
        <v>20486.882494555761</v>
      </c>
      <c r="BS44" s="5">
        <f t="shared" si="8"/>
        <v>19733.822479800787</v>
      </c>
      <c r="BT44" s="5">
        <f t="shared" si="8"/>
        <v>18058.097696805493</v>
      </c>
      <c r="BU44" s="5">
        <f t="shared" si="8"/>
        <v>15000.477114708601</v>
      </c>
      <c r="BV44" s="5">
        <f t="shared" si="8"/>
        <v>0</v>
      </c>
    </row>
    <row r="45" spans="2:74" hidden="1" x14ac:dyDescent="0.2">
      <c r="B45" s="5">
        <f t="shared" si="6"/>
        <v>0</v>
      </c>
      <c r="C45" s="5">
        <f t="shared" si="10"/>
        <v>0</v>
      </c>
      <c r="D45" s="5">
        <f t="shared" si="10"/>
        <v>0</v>
      </c>
      <c r="E45" s="5">
        <f t="shared" si="10"/>
        <v>0</v>
      </c>
      <c r="F45" s="5">
        <f t="shared" si="10"/>
        <v>0</v>
      </c>
      <c r="G45" s="5">
        <f t="shared" si="10"/>
        <v>0</v>
      </c>
      <c r="H45" s="5">
        <f t="shared" si="10"/>
        <v>0</v>
      </c>
      <c r="I45" s="5">
        <f t="shared" si="10"/>
        <v>0</v>
      </c>
      <c r="J45" s="5">
        <f t="shared" si="10"/>
        <v>0</v>
      </c>
      <c r="K45" s="5">
        <f t="shared" si="10"/>
        <v>0</v>
      </c>
      <c r="L45" s="5">
        <f t="shared" si="10"/>
        <v>0</v>
      </c>
      <c r="M45" s="5">
        <f t="shared" si="10"/>
        <v>0</v>
      </c>
      <c r="N45" s="5">
        <f t="shared" si="10"/>
        <v>0</v>
      </c>
      <c r="O45" s="5">
        <f t="shared" si="10"/>
        <v>0</v>
      </c>
      <c r="P45" s="5">
        <f t="shared" si="10"/>
        <v>0</v>
      </c>
      <c r="Q45" s="5">
        <f t="shared" si="10"/>
        <v>0</v>
      </c>
      <c r="R45" s="5">
        <f t="shared" si="10"/>
        <v>0</v>
      </c>
      <c r="S45" s="5">
        <f t="shared" si="10"/>
        <v>0</v>
      </c>
      <c r="T45" s="5">
        <f t="shared" si="10"/>
        <v>0</v>
      </c>
      <c r="U45" s="5">
        <f t="shared" si="10"/>
        <v>0</v>
      </c>
      <c r="V45" s="5">
        <f t="shared" si="10"/>
        <v>0</v>
      </c>
      <c r="W45" s="5">
        <f t="shared" si="10"/>
        <v>0</v>
      </c>
      <c r="X45" s="5">
        <f t="shared" si="10"/>
        <v>58055.739149410292</v>
      </c>
      <c r="Y45" s="5">
        <f t="shared" si="10"/>
        <v>60528.362090315968</v>
      </c>
      <c r="Z45" s="5">
        <f t="shared" si="10"/>
        <v>10287.566999999999</v>
      </c>
      <c r="AA45" s="5">
        <f t="shared" si="10"/>
        <v>10528.119000000001</v>
      </c>
      <c r="AB45" s="5">
        <f t="shared" si="10"/>
        <v>10476.012000000001</v>
      </c>
      <c r="AC45" s="5">
        <f t="shared" si="10"/>
        <v>10634.467000000001</v>
      </c>
      <c r="AD45" s="5">
        <f t="shared" si="10"/>
        <v>10659.121999999999</v>
      </c>
      <c r="AE45" s="5">
        <f t="shared" si="10"/>
        <v>11176.741</v>
      </c>
      <c r="AF45" s="5">
        <f t="shared" si="10"/>
        <v>11226.1</v>
      </c>
      <c r="AG45" s="5">
        <f t="shared" si="10"/>
        <v>11199.96</v>
      </c>
      <c r="AH45" s="5">
        <f t="shared" si="10"/>
        <v>11281.452759999998</v>
      </c>
      <c r="AI45" s="5">
        <f t="shared" si="10"/>
        <v>12553.182999999997</v>
      </c>
      <c r="AJ45" s="5">
        <f t="shared" si="10"/>
        <v>12569.338629999998</v>
      </c>
      <c r="AK45" s="5">
        <f t="shared" si="10"/>
        <v>15284.017530000005</v>
      </c>
      <c r="AL45" s="5">
        <f t="shared" si="10"/>
        <v>17978.184549999998</v>
      </c>
      <c r="AM45" s="5">
        <f t="shared" si="10"/>
        <v>18135.821189999991</v>
      </c>
      <c r="AN45" s="5">
        <f t="shared" si="10"/>
        <v>18177.042730000001</v>
      </c>
      <c r="AO45" s="5">
        <f t="shared" si="10"/>
        <v>21273.840029999996</v>
      </c>
      <c r="AP45" s="5">
        <f t="shared" si="10"/>
        <v>21194.167110000002</v>
      </c>
      <c r="AQ45" s="5">
        <f t="shared" si="10"/>
        <v>21488.482660000001</v>
      </c>
      <c r="AR45" s="5">
        <f t="shared" si="10"/>
        <v>21713.349519999996</v>
      </c>
      <c r="AS45" s="5">
        <f t="shared" si="10"/>
        <v>21956.302419999996</v>
      </c>
      <c r="AT45" s="5">
        <f t="shared" si="10"/>
        <v>22095.050669999993</v>
      </c>
      <c r="AU45" s="5">
        <f t="shared" si="10"/>
        <v>20692.174059999998</v>
      </c>
      <c r="AV45" s="5">
        <f t="shared" si="10"/>
        <v>24059.348180000008</v>
      </c>
      <c r="AW45" s="5">
        <f t="shared" si="10"/>
        <v>24516.796650000011</v>
      </c>
      <c r="AX45" s="5">
        <f t="shared" si="10"/>
        <v>24841.327619999993</v>
      </c>
      <c r="AY45" s="5">
        <f t="shared" si="10"/>
        <v>25101.420620000004</v>
      </c>
      <c r="AZ45" s="5">
        <f t="shared" si="10"/>
        <v>25769.447909999995</v>
      </c>
      <c r="BA45" s="5">
        <f t="shared" si="10"/>
        <v>26350.314649999993</v>
      </c>
      <c r="BB45" s="5">
        <f t="shared" si="10"/>
        <v>26377.363868160006</v>
      </c>
      <c r="BC45" s="5">
        <f t="shared" si="10"/>
        <v>27434.679030000007</v>
      </c>
      <c r="BD45" s="5">
        <f t="shared" si="10"/>
        <v>27635.863669999995</v>
      </c>
      <c r="BE45" s="5">
        <f t="shared" si="10"/>
        <v>28685.270690000019</v>
      </c>
      <c r="BF45" s="5">
        <f t="shared" si="10"/>
        <v>28910.684022040004</v>
      </c>
      <c r="BG45" s="5">
        <f t="shared" si="10"/>
        <v>27834.791846580018</v>
      </c>
      <c r="BH45" s="5">
        <f t="shared" si="10"/>
        <v>28166.314783159993</v>
      </c>
      <c r="BI45" s="5">
        <f t="shared" si="10"/>
        <v>29683.500438579995</v>
      </c>
      <c r="BJ45" s="5">
        <f t="shared" si="10"/>
        <v>33157.552710819997</v>
      </c>
      <c r="BK45" s="5">
        <f t="shared" si="10"/>
        <v>33168.319491000002</v>
      </c>
      <c r="BL45" s="5">
        <f t="shared" si="10"/>
        <v>32159.875015170001</v>
      </c>
      <c r="BM45" s="5">
        <f t="shared" si="10"/>
        <v>31654.012403270026</v>
      </c>
      <c r="BN45" s="5">
        <f t="shared" si="10"/>
        <v>31645.95868095</v>
      </c>
      <c r="BO45" s="5">
        <f t="shared" si="8"/>
        <v>31773.225861359992</v>
      </c>
      <c r="BP45" s="5">
        <f t="shared" si="8"/>
        <v>32223.164836950011</v>
      </c>
      <c r="BQ45" s="5">
        <f t="shared" si="8"/>
        <v>28071.319760309998</v>
      </c>
      <c r="BR45" s="5">
        <f t="shared" si="8"/>
        <v>27853.893950999991</v>
      </c>
      <c r="BS45" s="5">
        <f t="shared" si="8"/>
        <v>25693.538010000004</v>
      </c>
      <c r="BT45" s="5">
        <f t="shared" si="8"/>
        <v>25527.872434370005</v>
      </c>
      <c r="BU45" s="5">
        <f t="shared" si="8"/>
        <v>25512.373298890001</v>
      </c>
      <c r="BV45" s="5">
        <f t="shared" si="8"/>
        <v>0</v>
      </c>
    </row>
    <row r="46" spans="2:74" hidden="1" x14ac:dyDescent="0.2">
      <c r="B46" s="5">
        <f t="shared" si="6"/>
        <v>0</v>
      </c>
      <c r="C46" s="5">
        <f t="shared" si="10"/>
        <v>0</v>
      </c>
      <c r="D46" s="5">
        <f t="shared" si="10"/>
        <v>0</v>
      </c>
      <c r="E46" s="5">
        <f t="shared" si="10"/>
        <v>0</v>
      </c>
      <c r="F46" s="5">
        <f t="shared" si="10"/>
        <v>0</v>
      </c>
      <c r="G46" s="5">
        <f t="shared" si="10"/>
        <v>0</v>
      </c>
      <c r="H46" s="5">
        <f t="shared" si="10"/>
        <v>0</v>
      </c>
      <c r="I46" s="5">
        <f t="shared" si="10"/>
        <v>0</v>
      </c>
      <c r="J46" s="5">
        <f t="shared" si="10"/>
        <v>0</v>
      </c>
      <c r="K46" s="5">
        <f t="shared" si="10"/>
        <v>0</v>
      </c>
      <c r="L46" s="5">
        <f t="shared" si="10"/>
        <v>0</v>
      </c>
      <c r="M46" s="5">
        <f t="shared" si="10"/>
        <v>0</v>
      </c>
      <c r="N46" s="5">
        <f t="shared" si="10"/>
        <v>0</v>
      </c>
      <c r="O46" s="5">
        <f t="shared" si="10"/>
        <v>0</v>
      </c>
      <c r="P46" s="5">
        <f t="shared" si="10"/>
        <v>0</v>
      </c>
      <c r="Q46" s="5">
        <f t="shared" si="10"/>
        <v>0</v>
      </c>
      <c r="R46" s="5">
        <f t="shared" si="10"/>
        <v>0</v>
      </c>
      <c r="S46" s="5">
        <f t="shared" si="10"/>
        <v>0</v>
      </c>
      <c r="T46" s="5">
        <f t="shared" si="10"/>
        <v>0</v>
      </c>
      <c r="U46" s="5">
        <f t="shared" si="10"/>
        <v>0</v>
      </c>
      <c r="V46" s="5">
        <f t="shared" si="10"/>
        <v>0</v>
      </c>
      <c r="W46" s="5">
        <f t="shared" si="10"/>
        <v>0</v>
      </c>
      <c r="X46" s="5">
        <f t="shared" si="10"/>
        <v>2449.5659999999998</v>
      </c>
      <c r="Y46" s="5">
        <f t="shared" si="10"/>
        <v>2470.1179999999999</v>
      </c>
      <c r="Z46" s="5">
        <f t="shared" si="10"/>
        <v>2520.9989999999998</v>
      </c>
      <c r="AA46" s="5">
        <f t="shared" si="10"/>
        <v>2579.712</v>
      </c>
      <c r="AB46" s="5">
        <f t="shared" si="10"/>
        <v>2645.3029999999999</v>
      </c>
      <c r="AC46" s="5">
        <f t="shared" si="10"/>
        <v>2672.7739999999999</v>
      </c>
      <c r="AD46" s="5">
        <f t="shared" si="10"/>
        <v>2730.9969999999998</v>
      </c>
      <c r="AE46" s="5">
        <f t="shared" si="10"/>
        <v>2763.0459999999998</v>
      </c>
      <c r="AF46" s="5">
        <f t="shared" si="10"/>
        <v>2785.93</v>
      </c>
      <c r="AG46" s="5">
        <f t="shared" si="10"/>
        <v>2885.1149999999998</v>
      </c>
      <c r="AH46" s="5">
        <f t="shared" si="10"/>
        <v>2273.9827999999998</v>
      </c>
      <c r="AI46" s="5">
        <f t="shared" si="10"/>
        <v>2355.78757</v>
      </c>
      <c r="AJ46" s="5">
        <f t="shared" si="10"/>
        <v>2498.9770099999996</v>
      </c>
      <c r="AK46" s="5">
        <f t="shared" si="10"/>
        <v>2495.0781099999999</v>
      </c>
      <c r="AL46" s="5">
        <f t="shared" si="10"/>
        <v>2594.0083500000001</v>
      </c>
      <c r="AM46" s="5">
        <f t="shared" si="10"/>
        <v>2628.3982299999998</v>
      </c>
      <c r="AN46" s="5">
        <f t="shared" si="10"/>
        <v>2666.99899</v>
      </c>
      <c r="AO46" s="5">
        <f t="shared" si="10"/>
        <v>2661.06628</v>
      </c>
      <c r="AP46" s="5">
        <f t="shared" si="10"/>
        <v>2698.63004</v>
      </c>
      <c r="AQ46" s="5">
        <f t="shared" si="10"/>
        <v>2741.3454500000003</v>
      </c>
      <c r="AR46" s="5">
        <f t="shared" si="10"/>
        <v>2756.73326</v>
      </c>
      <c r="AS46" s="5">
        <f t="shared" si="10"/>
        <v>2787.2814600000002</v>
      </c>
      <c r="AT46" s="5">
        <f t="shared" si="10"/>
        <v>2828.2600600000001</v>
      </c>
      <c r="AU46" s="5">
        <f t="shared" si="10"/>
        <v>2919.3957999999998</v>
      </c>
      <c r="AV46" s="5">
        <f t="shared" si="10"/>
        <v>2933.4980299999997</v>
      </c>
      <c r="AW46" s="5">
        <f t="shared" si="10"/>
        <v>3059.6813399999996</v>
      </c>
      <c r="AX46" s="5">
        <f t="shared" si="10"/>
        <v>3094.0119900000004</v>
      </c>
      <c r="AY46" s="5">
        <f t="shared" si="10"/>
        <v>3116.7837100000002</v>
      </c>
      <c r="AZ46" s="5">
        <f t="shared" si="10"/>
        <v>3122.2213900000002</v>
      </c>
      <c r="BA46" s="5">
        <f t="shared" si="10"/>
        <v>3123.2325699999997</v>
      </c>
      <c r="BB46" s="5">
        <f t="shared" si="10"/>
        <v>3181.0875799999999</v>
      </c>
      <c r="BC46" s="5">
        <f t="shared" si="10"/>
        <v>3131.6199100000003</v>
      </c>
      <c r="BD46" s="5">
        <f t="shared" si="10"/>
        <v>3183.6280200000001</v>
      </c>
      <c r="BE46" s="5">
        <f t="shared" si="10"/>
        <v>3174.0388399999997</v>
      </c>
      <c r="BF46" s="5">
        <f t="shared" si="10"/>
        <v>3150.7985199999998</v>
      </c>
      <c r="BG46" s="5">
        <f t="shared" si="10"/>
        <v>3229.7840000000001</v>
      </c>
      <c r="BH46" s="5">
        <f t="shared" si="10"/>
        <v>3261.0479999999998</v>
      </c>
      <c r="BI46" s="5">
        <f t="shared" si="10"/>
        <v>3153.95064</v>
      </c>
      <c r="BJ46" s="5">
        <f t="shared" si="10"/>
        <v>3118.18804</v>
      </c>
      <c r="BK46" s="5">
        <f t="shared" si="10"/>
        <v>3106.3940299999999</v>
      </c>
      <c r="BL46" s="5">
        <f t="shared" si="10"/>
        <v>3101.3940299999999</v>
      </c>
      <c r="BM46" s="5">
        <f t="shared" si="10"/>
        <v>3065.3870000000002</v>
      </c>
      <c r="BN46" s="5">
        <f t="shared" ref="BN46:BV47" si="11">+BN38/1000</f>
        <v>3096.0360000000001</v>
      </c>
      <c r="BO46" s="5">
        <f t="shared" si="11"/>
        <v>2766.6460000000002</v>
      </c>
      <c r="BP46" s="5">
        <f t="shared" si="11"/>
        <v>2766.6460000000002</v>
      </c>
      <c r="BQ46" s="5">
        <f t="shared" si="11"/>
        <v>2731.6837458600003</v>
      </c>
      <c r="BR46" s="5">
        <f t="shared" si="11"/>
        <v>2707.8223269999999</v>
      </c>
      <c r="BS46" s="5">
        <f t="shared" si="11"/>
        <v>2638.3047700000002</v>
      </c>
      <c r="BT46" s="5">
        <f t="shared" si="11"/>
        <v>2610.1655318999997</v>
      </c>
      <c r="BU46" s="5">
        <f t="shared" si="11"/>
        <v>2550.9335300099997</v>
      </c>
      <c r="BV46" s="5">
        <f t="shared" si="11"/>
        <v>0</v>
      </c>
    </row>
    <row r="47" spans="2:74" hidden="1" x14ac:dyDescent="0.2">
      <c r="B47" s="5">
        <f t="shared" si="6"/>
        <v>16861.099612000002</v>
      </c>
      <c r="C47" s="5">
        <f t="shared" ref="C47:BN47" si="12">+C39/1000</f>
        <v>14418.408944999999</v>
      </c>
      <c r="D47" s="5">
        <f t="shared" si="12"/>
        <v>13000.154935999995</v>
      </c>
      <c r="E47" s="5">
        <f t="shared" si="12"/>
        <v>16074.078023385015</v>
      </c>
      <c r="F47" s="5">
        <f t="shared" si="12"/>
        <v>20932.738658942479</v>
      </c>
      <c r="G47" s="5">
        <f t="shared" si="12"/>
        <v>21420.08740888293</v>
      </c>
      <c r="H47" s="5">
        <f t="shared" si="12"/>
        <v>16989.480803457453</v>
      </c>
      <c r="I47" s="5">
        <f t="shared" si="12"/>
        <v>12756.330453454304</v>
      </c>
      <c r="J47" s="5">
        <f t="shared" si="12"/>
        <v>12517.042446158339</v>
      </c>
      <c r="K47" s="5">
        <f t="shared" si="12"/>
        <v>10987.347475546747</v>
      </c>
      <c r="L47" s="5">
        <f t="shared" si="12"/>
        <v>10309.266214425972</v>
      </c>
      <c r="M47" s="5">
        <f t="shared" si="12"/>
        <v>11501.886737630311</v>
      </c>
      <c r="N47" s="5">
        <f t="shared" si="12"/>
        <v>12315.257614748301</v>
      </c>
      <c r="O47" s="5">
        <f t="shared" si="12"/>
        <v>13587.181280059416</v>
      </c>
      <c r="P47" s="5">
        <f t="shared" si="12"/>
        <v>16300.594069337387</v>
      </c>
      <c r="Q47" s="5">
        <f t="shared" si="12"/>
        <v>17612.954532603544</v>
      </c>
      <c r="R47" s="5">
        <f t="shared" si="12"/>
        <v>24701.617906260781</v>
      </c>
      <c r="S47" s="5">
        <f t="shared" si="12"/>
        <v>25364.782202835475</v>
      </c>
      <c r="T47" s="5">
        <f t="shared" si="12"/>
        <v>25513.272564811334</v>
      </c>
      <c r="U47" s="5">
        <f t="shared" si="12"/>
        <v>25910.52367961617</v>
      </c>
      <c r="V47" s="5">
        <f t="shared" si="12"/>
        <v>25528.776695385015</v>
      </c>
      <c r="W47" s="5">
        <f t="shared" si="12"/>
        <v>25554.629884671212</v>
      </c>
      <c r="X47" s="5">
        <f t="shared" si="12"/>
        <v>23283.167399167378</v>
      </c>
      <c r="Y47" s="5">
        <f t="shared" si="12"/>
        <v>23560.579009811474</v>
      </c>
      <c r="Z47" s="5">
        <f t="shared" si="12"/>
        <v>26452.339147887091</v>
      </c>
      <c r="AA47" s="5">
        <f t="shared" si="12"/>
        <v>26865.765601583968</v>
      </c>
      <c r="AB47" s="5">
        <f t="shared" si="12"/>
        <v>26838.52308378604</v>
      </c>
      <c r="AC47" s="5">
        <f t="shared" si="12"/>
        <v>27528.737832955645</v>
      </c>
      <c r="AD47" s="5">
        <f t="shared" si="12"/>
        <v>27760.568412909488</v>
      </c>
      <c r="AE47" s="5">
        <f t="shared" si="12"/>
        <v>28436.284860332125</v>
      </c>
      <c r="AF47" s="5">
        <f t="shared" si="12"/>
        <v>28999.456426738871</v>
      </c>
      <c r="AG47" s="5">
        <f t="shared" si="12"/>
        <v>29580.266445937123</v>
      </c>
      <c r="AH47" s="5">
        <f t="shared" si="12"/>
        <v>36890.502881776243</v>
      </c>
      <c r="AI47" s="5">
        <f t="shared" si="12"/>
        <v>37908.93374755096</v>
      </c>
      <c r="AJ47" s="5">
        <f t="shared" si="12"/>
        <v>37111.744802009875</v>
      </c>
      <c r="AK47" s="5">
        <f t="shared" si="12"/>
        <v>89486.629129675319</v>
      </c>
      <c r="AL47" s="5">
        <f t="shared" si="12"/>
        <v>50861.635945752758</v>
      </c>
      <c r="AM47" s="5">
        <f t="shared" si="12"/>
        <v>50262.018575390437</v>
      </c>
      <c r="AN47" s="5">
        <f t="shared" si="12"/>
        <v>47527.909964195591</v>
      </c>
      <c r="AO47" s="5">
        <f t="shared" si="12"/>
        <v>45215.302336725639</v>
      </c>
      <c r="AP47" s="5">
        <f t="shared" si="12"/>
        <v>46756.224739893143</v>
      </c>
      <c r="AQ47" s="5">
        <f t="shared" si="12"/>
        <v>50968.232811034839</v>
      </c>
      <c r="AR47" s="5">
        <f t="shared" si="12"/>
        <v>51077.650641090011</v>
      </c>
      <c r="AS47" s="5">
        <f t="shared" si="12"/>
        <v>38857.165929878916</v>
      </c>
      <c r="AT47" s="5">
        <f t="shared" si="12"/>
        <v>38944.754507329999</v>
      </c>
      <c r="AU47" s="5">
        <f t="shared" si="12"/>
        <v>49761.11193793331</v>
      </c>
      <c r="AV47" s="5">
        <f t="shared" si="12"/>
        <v>49286.946511252347</v>
      </c>
      <c r="AW47" s="5">
        <f t="shared" si="12"/>
        <v>53671.049552489269</v>
      </c>
      <c r="AX47" s="5">
        <f t="shared" si="12"/>
        <v>66771.386010000002</v>
      </c>
      <c r="AY47" s="5">
        <f t="shared" si="12"/>
        <v>83956.204620233402</v>
      </c>
      <c r="AZ47" s="5">
        <f t="shared" si="12"/>
        <v>100780.03328624475</v>
      </c>
      <c r="BA47" s="5">
        <f t="shared" si="12"/>
        <v>100840.82507763973</v>
      </c>
      <c r="BB47" s="5">
        <f t="shared" si="12"/>
        <v>102480.60612568204</v>
      </c>
      <c r="BC47" s="5">
        <f t="shared" si="12"/>
        <v>96332.393807306406</v>
      </c>
      <c r="BD47" s="5">
        <f t="shared" si="12"/>
        <v>99237.882785224996</v>
      </c>
      <c r="BE47" s="5">
        <f t="shared" si="12"/>
        <v>101300.6617312078</v>
      </c>
      <c r="BF47" s="5">
        <f t="shared" si="12"/>
        <v>102165.84778369842</v>
      </c>
      <c r="BG47" s="5">
        <f t="shared" si="12"/>
        <v>97787.167291162506</v>
      </c>
      <c r="BH47" s="5">
        <f t="shared" si="12"/>
        <v>97494.346670883737</v>
      </c>
      <c r="BI47" s="5">
        <f t="shared" si="12"/>
        <v>125106.83414472865</v>
      </c>
      <c r="BJ47" s="5">
        <f t="shared" si="12"/>
        <v>121940.79739590071</v>
      </c>
      <c r="BK47" s="5">
        <f t="shared" si="12"/>
        <v>108215.30765745096</v>
      </c>
      <c r="BL47" s="5">
        <f t="shared" si="12"/>
        <v>92627.741466914595</v>
      </c>
      <c r="BM47" s="5">
        <f t="shared" si="12"/>
        <v>92951.620978041028</v>
      </c>
      <c r="BN47" s="5">
        <f t="shared" si="12"/>
        <v>100001.78194705019</v>
      </c>
      <c r="BO47" s="5">
        <f t="shared" si="11"/>
        <v>90266.518310648869</v>
      </c>
      <c r="BP47" s="5">
        <f t="shared" si="11"/>
        <v>89768.479680929042</v>
      </c>
      <c r="BQ47" s="5">
        <f t="shared" si="11"/>
        <v>93752.291955153138</v>
      </c>
      <c r="BR47" s="5">
        <f t="shared" si="11"/>
        <v>94298.065439809143</v>
      </c>
      <c r="BS47" s="5">
        <f t="shared" si="11"/>
        <v>95119.985828961057</v>
      </c>
      <c r="BT47" s="5">
        <f t="shared" si="11"/>
        <v>96181.457288782258</v>
      </c>
      <c r="BU47" s="5">
        <f t="shared" si="11"/>
        <v>96715.636407832091</v>
      </c>
      <c r="BV47" s="5">
        <f t="shared" si="11"/>
        <v>0</v>
      </c>
    </row>
    <row r="48" spans="2:74" hidden="1" x14ac:dyDescent="0.2"/>
    <row r="61" spans="26:73" x14ac:dyDescent="0.2">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26:73" x14ac:dyDescent="0.2">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26:73" x14ac:dyDescent="0.2">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26:73" x14ac:dyDescent="0.2">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row>
    <row r="65" spans="26:73" x14ac:dyDescent="0.2">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row>
    <row r="66" spans="26:73" x14ac:dyDescent="0.2">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row>
    <row r="67" spans="26:73" x14ac:dyDescent="0.2">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row>
    <row r="68" spans="26:73" x14ac:dyDescent="0.2">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row>
  </sheetData>
  <mergeCells count="2">
    <mergeCell ref="A6:Z6"/>
    <mergeCell ref="A28:AA28"/>
  </mergeCells>
  <phoneticPr fontId="0" type="noConversion"/>
  <pageMargins left="0.78740157499999996" right="0.78740157499999996" top="0.984251969" bottom="0.984251969" header="0.49212598499999999" footer="0.49212598499999999"/>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7"/>
  <sheetViews>
    <sheetView workbookViewId="0">
      <pane xSplit="1" topLeftCell="B1" activePane="topRight" state="frozen"/>
      <selection pane="topRight" activeCell="E1" sqref="E1:G2"/>
    </sheetView>
  </sheetViews>
  <sheetFormatPr defaultRowHeight="12.75" x14ac:dyDescent="0.2"/>
  <cols>
    <col min="1" max="1" width="42" bestFit="1" customWidth="1"/>
    <col min="2" max="7" width="13.85546875" bestFit="1" customWidth="1"/>
    <col min="8" max="10" width="13.85546875" customWidth="1"/>
    <col min="11" max="11" width="18.5703125" customWidth="1"/>
    <col min="12" max="12" width="13.85546875" customWidth="1"/>
    <col min="13" max="13" width="11.140625" bestFit="1" customWidth="1"/>
    <col min="14" max="14" width="12.28515625" bestFit="1" customWidth="1"/>
  </cols>
  <sheetData>
    <row r="1" spans="1:14" ht="26.25" x14ac:dyDescent="0.4">
      <c r="A1" s="13" t="s">
        <v>20</v>
      </c>
      <c r="B1" s="14" t="s">
        <v>18</v>
      </c>
      <c r="C1" s="15"/>
      <c r="D1" s="16"/>
    </row>
    <row r="2" spans="1:14" x14ac:dyDescent="0.2">
      <c r="A2" s="14"/>
      <c r="B2" s="15"/>
      <c r="C2" s="15"/>
      <c r="D2" s="16"/>
    </row>
    <row r="3" spans="1:14" x14ac:dyDescent="0.2">
      <c r="A3" s="17" t="s">
        <v>21</v>
      </c>
      <c r="B3" s="1"/>
      <c r="C3" s="1"/>
      <c r="D3" s="18"/>
      <c r="E3" s="18"/>
      <c r="F3" s="11"/>
      <c r="G3" s="11"/>
    </row>
    <row r="4" spans="1:14" x14ac:dyDescent="0.2">
      <c r="A4" s="17" t="s">
        <v>22</v>
      </c>
      <c r="B4" s="1"/>
      <c r="C4" s="1"/>
      <c r="D4" s="18"/>
      <c r="E4" s="18"/>
    </row>
    <row r="7" spans="1:14" x14ac:dyDescent="0.2">
      <c r="A7" s="1" t="s">
        <v>16</v>
      </c>
    </row>
    <row r="8" spans="1:14" x14ac:dyDescent="0.2">
      <c r="A8" s="1" t="s">
        <v>23</v>
      </c>
    </row>
    <row r="9" spans="1:14" ht="13.5" thickBot="1" x14ac:dyDescent="0.25">
      <c r="B9" s="21">
        <v>36892</v>
      </c>
      <c r="C9" s="21">
        <v>36923</v>
      </c>
      <c r="D9" s="21">
        <v>36951</v>
      </c>
      <c r="E9" s="21">
        <v>36982</v>
      </c>
      <c r="F9" s="21">
        <v>37012</v>
      </c>
      <c r="G9" s="21">
        <v>37043</v>
      </c>
      <c r="H9" s="21">
        <v>37073</v>
      </c>
      <c r="I9" s="21">
        <v>37104</v>
      </c>
      <c r="J9" s="21">
        <v>37135</v>
      </c>
      <c r="K9" s="21">
        <v>37165</v>
      </c>
      <c r="L9" s="21">
        <v>37196</v>
      </c>
      <c r="M9" s="21">
        <v>37226</v>
      </c>
    </row>
    <row r="10" spans="1:14" ht="13.5" thickBot="1" x14ac:dyDescent="0.25">
      <c r="A10" s="2" t="s">
        <v>10</v>
      </c>
      <c r="B10" s="23">
        <f t="shared" ref="B10:J10" si="0">SUM(B11:B17)</f>
        <v>429574.22548498615</v>
      </c>
      <c r="C10" s="23">
        <f t="shared" si="0"/>
        <v>429069.53657555778</v>
      </c>
      <c r="D10" s="23">
        <f t="shared" si="0"/>
        <v>437579.38105231046</v>
      </c>
      <c r="E10" s="23">
        <f t="shared" si="0"/>
        <v>443241.27360029583</v>
      </c>
      <c r="F10" s="23">
        <f t="shared" si="0"/>
        <v>437493.93024104706</v>
      </c>
      <c r="G10" s="23">
        <f t="shared" si="0"/>
        <v>453968.41415438993</v>
      </c>
      <c r="H10" s="23">
        <f t="shared" si="0"/>
        <v>462587.88227999996</v>
      </c>
      <c r="I10" s="23">
        <f t="shared" si="0"/>
        <v>464486.00224000012</v>
      </c>
      <c r="J10" s="23">
        <f t="shared" si="0"/>
        <v>475074.95099000004</v>
      </c>
      <c r="K10" s="23">
        <f>SUM(K11:K17)</f>
        <v>489167.67906668817</v>
      </c>
      <c r="L10" s="23">
        <f>SUM(L11:L17)</f>
        <v>493665.68864144513</v>
      </c>
      <c r="M10" s="23">
        <f>SUM(M11:M17)</f>
        <v>505989.27438999998</v>
      </c>
    </row>
    <row r="11" spans="1:14" x14ac:dyDescent="0.2">
      <c r="A11" t="s">
        <v>0</v>
      </c>
      <c r="B11" s="33">
        <v>74086.757518210012</v>
      </c>
      <c r="C11" s="33">
        <v>71939.98449889</v>
      </c>
      <c r="D11" s="33">
        <v>75490.876179190003</v>
      </c>
      <c r="E11" s="33">
        <v>68038.128306500003</v>
      </c>
      <c r="F11" s="33">
        <v>63185.519589610005</v>
      </c>
      <c r="G11" s="33">
        <v>62933.606</v>
      </c>
      <c r="H11" s="33">
        <v>60659.923999999999</v>
      </c>
      <c r="I11" s="33">
        <v>58072.480000000003</v>
      </c>
      <c r="J11" s="33">
        <v>57183.165999999997</v>
      </c>
      <c r="K11" s="33">
        <v>52859.231440279997</v>
      </c>
      <c r="L11" s="33">
        <v>51191.057000000001</v>
      </c>
      <c r="M11" s="33">
        <v>48806.728999999999</v>
      </c>
      <c r="N11" s="3"/>
    </row>
    <row r="12" spans="1:14" x14ac:dyDescent="0.2">
      <c r="A12" t="s">
        <v>19</v>
      </c>
      <c r="B12" s="33">
        <v>206989.30156698998</v>
      </c>
      <c r="C12" s="33">
        <v>209985.41097075</v>
      </c>
      <c r="D12" s="33">
        <v>213532.93866130998</v>
      </c>
      <c r="E12" s="33">
        <v>223188.69127283001</v>
      </c>
      <c r="F12" s="33">
        <v>219456.40942846</v>
      </c>
      <c r="G12" s="33">
        <v>237317.57500000001</v>
      </c>
      <c r="H12" s="33">
        <v>252996.837</v>
      </c>
      <c r="I12" s="33">
        <v>254034.291</v>
      </c>
      <c r="J12" s="33">
        <v>255029.57399999999</v>
      </c>
      <c r="K12" s="33">
        <v>260464.28582774001</v>
      </c>
      <c r="L12" s="33">
        <v>266019.83500000002</v>
      </c>
      <c r="M12" s="33">
        <v>275243.07900000003</v>
      </c>
      <c r="N12" s="5"/>
    </row>
    <row r="13" spans="1:14" x14ac:dyDescent="0.2">
      <c r="A13" t="s">
        <v>1</v>
      </c>
      <c r="B13" s="33">
        <v>12141.41346779</v>
      </c>
      <c r="C13" s="33">
        <v>14983.393370809999</v>
      </c>
      <c r="D13" s="33">
        <v>15950.477690130001</v>
      </c>
      <c r="E13" s="33">
        <v>17478.403232659999</v>
      </c>
      <c r="F13" s="33">
        <v>19408.164682620001</v>
      </c>
      <c r="G13" s="33">
        <v>20409.615000000002</v>
      </c>
      <c r="H13" s="33">
        <v>21252.202000000001</v>
      </c>
      <c r="I13" s="33">
        <v>22454.418000000001</v>
      </c>
      <c r="J13" s="33">
        <v>23400.575000000001</v>
      </c>
      <c r="K13" s="33">
        <v>24872.136656299899</v>
      </c>
      <c r="L13" s="33">
        <v>25961.374</v>
      </c>
      <c r="M13" s="33">
        <v>26781.628000000001</v>
      </c>
      <c r="N13" s="3"/>
    </row>
    <row r="14" spans="1:14" x14ac:dyDescent="0.2">
      <c r="A14" t="s">
        <v>2</v>
      </c>
      <c r="B14" s="33">
        <v>13389.893427191115</v>
      </c>
      <c r="C14" s="33">
        <v>11167.494353389802</v>
      </c>
      <c r="D14" s="33">
        <v>10879.133022157963</v>
      </c>
      <c r="E14" s="33">
        <v>10995.515560743794</v>
      </c>
      <c r="F14" s="33">
        <v>11097.526040819457</v>
      </c>
      <c r="G14" s="33">
        <v>11672.929</v>
      </c>
      <c r="H14" s="33">
        <v>12638.739</v>
      </c>
      <c r="I14" s="33">
        <v>11923.601000000001</v>
      </c>
      <c r="J14" s="33">
        <v>20941.212</v>
      </c>
      <c r="K14" s="33">
        <v>35460.534</v>
      </c>
      <c r="L14" s="33">
        <v>37820.002999999997</v>
      </c>
      <c r="M14" s="33">
        <v>39204.286999999997</v>
      </c>
      <c r="N14" s="3"/>
    </row>
    <row r="15" spans="1:14" x14ac:dyDescent="0.2">
      <c r="A15" t="s">
        <v>14</v>
      </c>
      <c r="B15" s="34">
        <v>24421.186610000001</v>
      </c>
      <c r="C15" s="34">
        <v>23987.20737</v>
      </c>
      <c r="D15" s="34">
        <v>23912.812099999999</v>
      </c>
      <c r="E15" s="34">
        <v>26011.187259999999</v>
      </c>
      <c r="F15" s="34">
        <v>26170.479719999999</v>
      </c>
      <c r="G15" s="34">
        <v>26356.076140000001</v>
      </c>
      <c r="H15" s="34">
        <v>18080.196909999999</v>
      </c>
      <c r="I15" s="34">
        <v>19381.489890000001</v>
      </c>
      <c r="J15" s="34">
        <v>19097.638630000001</v>
      </c>
      <c r="K15" s="34">
        <v>15740.0246523683</v>
      </c>
      <c r="L15" s="34">
        <v>15901.1342814451</v>
      </c>
      <c r="M15" s="34">
        <v>17771.420419999999</v>
      </c>
      <c r="N15" s="3"/>
    </row>
    <row r="16" spans="1:14" x14ac:dyDescent="0.2">
      <c r="A16" t="s">
        <v>3</v>
      </c>
      <c r="B16" s="34">
        <v>2531.1084487999997</v>
      </c>
      <c r="C16" s="34">
        <v>2515.47702166</v>
      </c>
      <c r="D16" s="34">
        <v>2515.47702166</v>
      </c>
      <c r="E16" s="34">
        <v>2515.47702166</v>
      </c>
      <c r="F16" s="34">
        <v>2468.7558196199998</v>
      </c>
      <c r="G16" s="34">
        <v>2492.78701439</v>
      </c>
      <c r="H16" s="34">
        <v>2478.6393699999999</v>
      </c>
      <c r="I16" s="34">
        <v>2448.60635</v>
      </c>
      <c r="J16" s="34">
        <v>2422.41536</v>
      </c>
      <c r="K16" s="34">
        <v>2347.4664899999998</v>
      </c>
      <c r="L16" s="34">
        <v>2291.1503600000001</v>
      </c>
      <c r="M16" s="34">
        <v>2276.4899700000001</v>
      </c>
      <c r="N16" s="3"/>
    </row>
    <row r="17" spans="1:15" x14ac:dyDescent="0.2">
      <c r="A17" t="s">
        <v>4</v>
      </c>
      <c r="B17" s="33">
        <v>96014.564446005112</v>
      </c>
      <c r="C17" s="33">
        <v>94490.568990057887</v>
      </c>
      <c r="D17" s="33">
        <v>95297.666377862479</v>
      </c>
      <c r="E17" s="33">
        <v>95013.870945901945</v>
      </c>
      <c r="F17" s="33">
        <v>95707.074959917605</v>
      </c>
      <c r="G17" s="33">
        <f>425119.551-G11-G12-G13-G14</f>
        <v>92785.825999999928</v>
      </c>
      <c r="H17" s="33">
        <f>442029.046-H11-H12-H13-H14</f>
        <v>94481.343999999968</v>
      </c>
      <c r="I17" s="33">
        <f>442655.906-I11-I12-I13-I14</f>
        <v>96171.116000000038</v>
      </c>
      <c r="J17" s="33">
        <f>453554.897-J11-J12-J13-J14</f>
        <v>97000.370000000039</v>
      </c>
      <c r="K17" s="33">
        <v>97424</v>
      </c>
      <c r="L17" s="33">
        <v>94481.135000000009</v>
      </c>
      <c r="M17" s="33">
        <v>95905.640999999945</v>
      </c>
      <c r="N17" s="3"/>
      <c r="O17" s="3"/>
    </row>
    <row r="18" spans="1:15" x14ac:dyDescent="0.2">
      <c r="B18" s="25"/>
      <c r="C18" s="25"/>
      <c r="D18" s="25"/>
      <c r="E18" s="25"/>
      <c r="F18" s="25"/>
      <c r="G18" s="25"/>
      <c r="H18" s="25"/>
      <c r="I18" s="25"/>
      <c r="J18" s="25"/>
      <c r="K18" s="34"/>
      <c r="L18" s="34"/>
      <c r="M18" s="34"/>
    </row>
    <row r="19" spans="1:15" ht="13.5" thickBot="1" x14ac:dyDescent="0.25">
      <c r="A19" s="2" t="s">
        <v>11</v>
      </c>
      <c r="B19" s="27">
        <f t="shared" ref="B19:G19" si="1">B20+B21+B22+B23</f>
        <v>147875.56853500003</v>
      </c>
      <c r="C19" s="27">
        <f t="shared" si="1"/>
        <v>153028.4679508</v>
      </c>
      <c r="D19" s="27">
        <f t="shared" si="1"/>
        <v>160324.2859968</v>
      </c>
      <c r="E19" s="27">
        <f t="shared" si="1"/>
        <v>162937.34883229999</v>
      </c>
      <c r="F19" s="27">
        <f t="shared" si="1"/>
        <v>178547.01600000003</v>
      </c>
      <c r="G19" s="27">
        <f t="shared" si="1"/>
        <v>169532.62547130001</v>
      </c>
      <c r="H19" s="27">
        <f t="shared" ref="H19:M19" si="2">H20+H21+H22+H23</f>
        <v>178973.49746319998</v>
      </c>
      <c r="I19" s="27">
        <f t="shared" si="2"/>
        <v>193783.5591708</v>
      </c>
      <c r="J19" s="27">
        <f t="shared" si="2"/>
        <v>202662.68632570002</v>
      </c>
      <c r="K19" s="35">
        <f t="shared" si="2"/>
        <v>203551.29942320852</v>
      </c>
      <c r="L19" s="35">
        <f t="shared" si="2"/>
        <v>186157.88051804237</v>
      </c>
      <c r="M19" s="35">
        <f t="shared" si="2"/>
        <v>169383.71171658192</v>
      </c>
    </row>
    <row r="20" spans="1:15" x14ac:dyDescent="0.2">
      <c r="A20" t="s">
        <v>5</v>
      </c>
      <c r="B20" s="28">
        <v>109393.3436797</v>
      </c>
      <c r="C20" s="28">
        <v>113217.1671808</v>
      </c>
      <c r="D20" s="28">
        <v>119040</v>
      </c>
      <c r="E20" s="28">
        <v>121242.2575749</v>
      </c>
      <c r="F20" s="28">
        <v>133682</v>
      </c>
      <c r="G20" s="28">
        <f>53850.364*2.3049</f>
        <v>124119.7039836</v>
      </c>
      <c r="H20" s="28">
        <f>53759.175*2.4313</f>
        <v>130704.6821775</v>
      </c>
      <c r="I20" s="28">
        <f>55843.51*2.5517</f>
        <v>142495.884467</v>
      </c>
      <c r="J20" s="28">
        <f>55780.552*2.6713</f>
        <v>149006.58855760001</v>
      </c>
      <c r="K20" s="33">
        <f>55257.074*2.7071</f>
        <v>149586.42502540001</v>
      </c>
      <c r="L20" s="33">
        <f>53774.7280707143*2.5287</f>
        <v>135980.15487241527</v>
      </c>
      <c r="M20" s="33">
        <f>53647158.3857143*2.3204/1000</f>
        <v>124482.86631821145</v>
      </c>
    </row>
    <row r="21" spans="1:15" x14ac:dyDescent="0.2">
      <c r="A21" t="s">
        <v>6</v>
      </c>
      <c r="B21" s="28">
        <v>17839.9668337</v>
      </c>
      <c r="C21" s="28">
        <v>18521.112363600001</v>
      </c>
      <c r="D21" s="28">
        <v>19274.5483952</v>
      </c>
      <c r="E21" s="28">
        <v>19413.320664499999</v>
      </c>
      <c r="F21" s="28">
        <v>20962.4758</v>
      </c>
      <c r="G21" s="28">
        <f>10031.137*2.3049</f>
        <v>23120.7676713</v>
      </c>
      <c r="H21" s="28">
        <f>10108.63*2.4313</f>
        <v>24577.112118999998</v>
      </c>
      <c r="I21" s="28">
        <f>10158.834*2.5517</f>
        <v>25922.2967178</v>
      </c>
      <c r="J21" s="28">
        <f>10153.097*2.6713</f>
        <v>27121.9680161</v>
      </c>
      <c r="K21" s="33">
        <f>10077.3058013188*2.7071</f>
        <v>27280.274534750126</v>
      </c>
      <c r="L21" s="33">
        <f>10071.880142*2.5287</f>
        <v>25468.763315075401</v>
      </c>
      <c r="M21" s="33">
        <f>10071880.142*2.3204/1000</f>
        <v>23370.790681496797</v>
      </c>
    </row>
    <row r="22" spans="1:15" x14ac:dyDescent="0.2">
      <c r="A22" t="s">
        <v>7</v>
      </c>
      <c r="B22" s="29">
        <v>6748.7625616000005</v>
      </c>
      <c r="C22" s="29">
        <v>6993.4018744000005</v>
      </c>
      <c r="D22" s="29">
        <v>7378.1136239999996</v>
      </c>
      <c r="E22" s="29">
        <v>7456.5296595999998</v>
      </c>
      <c r="F22" s="29">
        <v>8063.2397199999996</v>
      </c>
      <c r="G22" s="29">
        <f>3412.566*2.3049</f>
        <v>7865.6233733999998</v>
      </c>
      <c r="H22" s="29">
        <f>3412.337*2.4313</f>
        <v>8296.4149480999986</v>
      </c>
      <c r="I22" s="29">
        <f>3412.337*2.5517</f>
        <v>8707.2603228999997</v>
      </c>
      <c r="J22" s="29">
        <f>3409.805*2.6713</f>
        <v>9108.6120964999991</v>
      </c>
      <c r="K22" s="34">
        <f>3407.84619008*2.7071</f>
        <v>9225.3804211655679</v>
      </c>
      <c r="L22" s="34">
        <f>3407.24773195*2.5287</f>
        <v>8615.9073397819648</v>
      </c>
      <c r="M22" s="34">
        <f>3402393.79475/1000*2.3204</f>
        <v>7894.9145613378987</v>
      </c>
    </row>
    <row r="23" spans="1:15" x14ac:dyDescent="0.2">
      <c r="A23" t="s">
        <v>8</v>
      </c>
      <c r="B23" s="28">
        <v>13893.495460000002</v>
      </c>
      <c r="C23" s="28">
        <v>14296.786532</v>
      </c>
      <c r="D23" s="28">
        <v>14631.6239776</v>
      </c>
      <c r="E23" s="28">
        <v>14825.240933299998</v>
      </c>
      <c r="F23" s="28">
        <v>15839.300479999998</v>
      </c>
      <c r="G23" s="28">
        <f>6259.07*2.3049</f>
        <v>14426.530443</v>
      </c>
      <c r="H23" s="28">
        <f>6332.122*2.4313</f>
        <v>15395.288218599999</v>
      </c>
      <c r="I23" s="28">
        <f>6528.243*2.5517</f>
        <v>16658.117663100002</v>
      </c>
      <c r="J23" s="28">
        <f>6523.235*2.6713</f>
        <v>17425.5176555</v>
      </c>
      <c r="K23" s="34">
        <f>6449.41799042991*2.7071</f>
        <v>17459.219441892808</v>
      </c>
      <c r="L23" s="34">
        <f>6364.16142316991*2.5287</f>
        <v>16093.054990769753</v>
      </c>
      <c r="M23" s="34">
        <f>5876202.44592991/1000*2.3204</f>
        <v>13635.140155535762</v>
      </c>
    </row>
    <row r="24" spans="1:15" ht="13.5" thickBot="1" x14ac:dyDescent="0.25">
      <c r="A24" s="6"/>
      <c r="B24" s="30"/>
      <c r="C24" s="30"/>
      <c r="D24" s="30"/>
      <c r="E24" s="30"/>
      <c r="F24" s="30"/>
      <c r="G24" s="30"/>
      <c r="H24" s="30"/>
      <c r="I24" s="30"/>
      <c r="J24" s="30"/>
      <c r="K24" s="36"/>
      <c r="L24" s="36"/>
      <c r="M24" s="36"/>
    </row>
    <row r="25" spans="1:15" x14ac:dyDescent="0.2">
      <c r="A25" s="1" t="s">
        <v>9</v>
      </c>
      <c r="B25" s="32">
        <f t="shared" ref="B25:J25" si="3">+B10+B19</f>
        <v>577449.79401998618</v>
      </c>
      <c r="C25" s="32">
        <f t="shared" si="3"/>
        <v>582098.00452635775</v>
      </c>
      <c r="D25" s="32">
        <f t="shared" si="3"/>
        <v>597903.6670491104</v>
      </c>
      <c r="E25" s="32">
        <f t="shared" si="3"/>
        <v>606178.62243259582</v>
      </c>
      <c r="F25" s="32">
        <f t="shared" si="3"/>
        <v>616040.94624104712</v>
      </c>
      <c r="G25" s="32">
        <f t="shared" si="3"/>
        <v>623501.03962568997</v>
      </c>
      <c r="H25" s="32">
        <f t="shared" si="3"/>
        <v>641561.37974319991</v>
      </c>
      <c r="I25" s="32">
        <f t="shared" si="3"/>
        <v>658269.56141080009</v>
      </c>
      <c r="J25" s="32">
        <f t="shared" si="3"/>
        <v>677737.63731570006</v>
      </c>
      <c r="K25" s="32">
        <f>+K10+K19</f>
        <v>692718.97848989675</v>
      </c>
      <c r="L25" s="32">
        <f>+L10+L19</f>
        <v>679823.5691594875</v>
      </c>
      <c r="M25" s="32">
        <f>+M10+M19</f>
        <v>675372.98610658187</v>
      </c>
    </row>
    <row r="26" spans="1:15" x14ac:dyDescent="0.2">
      <c r="A26" s="20"/>
      <c r="B26" s="20"/>
      <c r="C26" s="20"/>
      <c r="D26" s="20"/>
      <c r="E26" s="20"/>
      <c r="F26" s="20"/>
      <c r="G26" s="20"/>
      <c r="H26" s="20"/>
      <c r="I26" s="20"/>
      <c r="J26" s="20"/>
      <c r="K26" s="20"/>
      <c r="L26" s="20"/>
      <c r="M26" s="20"/>
    </row>
    <row r="27" spans="1:15" x14ac:dyDescent="0.2">
      <c r="A27" s="7" t="s">
        <v>15</v>
      </c>
    </row>
    <row r="28" spans="1:15" x14ac:dyDescent="0.2">
      <c r="A28" s="7"/>
    </row>
    <row r="33" spans="2:12" x14ac:dyDescent="0.2">
      <c r="B33" s="4"/>
      <c r="C33" s="4"/>
      <c r="D33" s="4"/>
      <c r="E33" s="4"/>
      <c r="F33" s="4"/>
      <c r="G33" s="4"/>
      <c r="H33" s="4"/>
      <c r="I33" s="4"/>
      <c r="J33" s="4"/>
      <c r="K33" s="4"/>
      <c r="L33" s="4"/>
    </row>
    <row r="36" spans="2:12" x14ac:dyDescent="0.2">
      <c r="B36" s="4"/>
      <c r="C36" s="4"/>
      <c r="D36" s="4"/>
      <c r="E36" s="4"/>
      <c r="F36" s="4"/>
      <c r="H36" s="4"/>
      <c r="I36" s="4"/>
      <c r="J36" s="4"/>
      <c r="K36" s="4"/>
      <c r="L36" s="4"/>
    </row>
    <row r="37" spans="2:12" x14ac:dyDescent="0.2">
      <c r="B37" s="10"/>
      <c r="C37" s="10"/>
      <c r="D37" s="10"/>
      <c r="E37" s="10"/>
      <c r="F37" s="10"/>
      <c r="G37" s="10"/>
      <c r="H37" s="10"/>
      <c r="I37" s="10"/>
      <c r="J37" s="10"/>
      <c r="K37" s="10"/>
      <c r="L37" s="10"/>
    </row>
  </sheetData>
  <phoneticPr fontId="0" type="noConversion"/>
  <pageMargins left="0.78740157499999996" right="0.78740157499999996" top="0.984251969" bottom="0.984251969" header="0.49212598499999999" footer="0.49212598499999999"/>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
  <sheetViews>
    <sheetView workbookViewId="0">
      <pane xSplit="1" topLeftCell="B1" activePane="topRight" state="frozen"/>
      <selection activeCell="A7" sqref="A7"/>
      <selection pane="topRight"/>
    </sheetView>
  </sheetViews>
  <sheetFormatPr defaultRowHeight="12.75" x14ac:dyDescent="0.2"/>
  <cols>
    <col min="1" max="1" width="41.85546875" customWidth="1"/>
    <col min="2" max="2" width="11.140625" bestFit="1" customWidth="1"/>
    <col min="3" max="3" width="13.5703125" bestFit="1" customWidth="1"/>
    <col min="4" max="13" width="16.85546875" customWidth="1"/>
    <col min="14" max="14" width="10.140625" bestFit="1" customWidth="1"/>
    <col min="15" max="15" width="10" bestFit="1" customWidth="1"/>
  </cols>
  <sheetData>
    <row r="1" spans="1:15" ht="26.25" x14ac:dyDescent="0.4">
      <c r="A1" s="13" t="s">
        <v>20</v>
      </c>
      <c r="B1" s="14" t="s">
        <v>18</v>
      </c>
      <c r="C1" s="15"/>
      <c r="D1" s="16"/>
    </row>
    <row r="2" spans="1:15" x14ac:dyDescent="0.2">
      <c r="A2" s="14"/>
      <c r="B2" s="15"/>
      <c r="C2" s="15"/>
      <c r="D2" s="16"/>
    </row>
    <row r="3" spans="1:15" x14ac:dyDescent="0.2">
      <c r="A3" s="17" t="s">
        <v>21</v>
      </c>
      <c r="B3" s="1"/>
      <c r="C3" s="1"/>
      <c r="D3" s="18"/>
      <c r="E3" s="18"/>
      <c r="F3" s="11"/>
      <c r="G3" s="11"/>
      <c r="H3" s="11"/>
      <c r="I3" s="11"/>
      <c r="K3" s="39"/>
    </row>
    <row r="4" spans="1:15" x14ac:dyDescent="0.2">
      <c r="A4" s="17" t="s">
        <v>22</v>
      </c>
      <c r="B4" s="1"/>
      <c r="C4" s="1"/>
      <c r="D4" s="18"/>
      <c r="E4" s="18"/>
    </row>
    <row r="6" spans="1:15" x14ac:dyDescent="0.2">
      <c r="A6" s="1" t="s">
        <v>16</v>
      </c>
      <c r="N6" s="3"/>
    </row>
    <row r="7" spans="1:15" x14ac:dyDescent="0.2">
      <c r="A7" s="1" t="s">
        <v>23</v>
      </c>
    </row>
    <row r="8" spans="1:15" ht="13.5" thickBot="1" x14ac:dyDescent="0.25">
      <c r="B8" s="21">
        <v>37257</v>
      </c>
      <c r="C8" s="21">
        <v>37288</v>
      </c>
      <c r="D8" s="21">
        <v>37316</v>
      </c>
      <c r="E8" s="21">
        <v>37347</v>
      </c>
      <c r="F8" s="21">
        <v>37377</v>
      </c>
      <c r="G8" s="21">
        <v>37408</v>
      </c>
      <c r="H8" s="21">
        <v>37438</v>
      </c>
      <c r="I8" s="21">
        <v>37469</v>
      </c>
      <c r="J8" s="21">
        <v>37500</v>
      </c>
      <c r="K8" s="21">
        <v>37530</v>
      </c>
      <c r="L8" s="21">
        <v>37561</v>
      </c>
      <c r="M8" s="21">
        <v>37591</v>
      </c>
    </row>
    <row r="9" spans="1:15" ht="13.5" thickBot="1" x14ac:dyDescent="0.25">
      <c r="A9" s="19" t="s">
        <v>10</v>
      </c>
      <c r="B9" s="23">
        <f t="shared" ref="B9:G9" si="0">SUM(B10:B16)</f>
        <v>512685.75653000007</v>
      </c>
      <c r="C9" s="23">
        <f t="shared" si="0"/>
        <v>522988.22083399468</v>
      </c>
      <c r="D9" s="23">
        <f t="shared" si="0"/>
        <v>516767.56875436479</v>
      </c>
      <c r="E9" s="23">
        <f t="shared" si="0"/>
        <v>531132.75543558528</v>
      </c>
      <c r="F9" s="23">
        <f t="shared" si="0"/>
        <v>538399.84222076007</v>
      </c>
      <c r="G9" s="23">
        <f t="shared" si="0"/>
        <v>544610.93850520952</v>
      </c>
      <c r="H9" s="23">
        <f>SUM(H10:H16)</f>
        <v>576045.27355833957</v>
      </c>
      <c r="I9" s="23">
        <f>SUM(I10:I16)</f>
        <v>554480.09062526899</v>
      </c>
      <c r="J9" s="23">
        <v>544330</v>
      </c>
      <c r="K9" s="23">
        <v>532792.897</v>
      </c>
      <c r="L9" s="23">
        <f>SUM(L10:L16)</f>
        <v>562713.00487999991</v>
      </c>
      <c r="M9" s="23">
        <f>SUM(M10:M16)</f>
        <v>557204.59181135998</v>
      </c>
    </row>
    <row r="10" spans="1:15" x14ac:dyDescent="0.2">
      <c r="A10" t="s">
        <v>0</v>
      </c>
      <c r="B10" s="37">
        <f>48039944/1000</f>
        <v>48039.944000000003</v>
      </c>
      <c r="C10" s="37">
        <f>49211297.32296/1000</f>
        <v>49211.297322959996</v>
      </c>
      <c r="D10" s="37">
        <f>56897191/1000</f>
        <v>56897.190999999999</v>
      </c>
      <c r="E10" s="37">
        <f>61907877.04953/1000</f>
        <v>61907.877049529998</v>
      </c>
      <c r="F10" s="37">
        <f>61006162.4079/1000</f>
        <v>61006.162407899996</v>
      </c>
      <c r="G10" s="37">
        <f>56249047.96313/1000</f>
        <v>56249.047963129997</v>
      </c>
      <c r="H10" s="37">
        <f>51746407.29001/1000</f>
        <v>51746.40729001</v>
      </c>
      <c r="I10" s="37">
        <f>48187267.1526079/1000</f>
        <v>48187.267152607899</v>
      </c>
      <c r="J10" s="37">
        <v>40515.646999999997</v>
      </c>
      <c r="K10" s="37">
        <v>41016.913999999997</v>
      </c>
      <c r="L10" s="37">
        <v>27862.48166985</v>
      </c>
      <c r="M10" s="37">
        <v>13583.59181136</v>
      </c>
    </row>
    <row r="11" spans="1:15" x14ac:dyDescent="0.2">
      <c r="A11" t="s">
        <v>19</v>
      </c>
      <c r="B11" s="37">
        <f>279676193/1000</f>
        <v>279676.19300000003</v>
      </c>
      <c r="C11" s="37">
        <f>277993081.09833/1000</f>
        <v>277993.08109833003</v>
      </c>
      <c r="D11" s="37">
        <f>260294327/1000</f>
        <v>260294.32699999999</v>
      </c>
      <c r="E11" s="37">
        <f>265365992/1000</f>
        <v>265365.99200000003</v>
      </c>
      <c r="F11" s="37">
        <f>268387756.65129/1000</f>
        <v>268387.75665128999</v>
      </c>
      <c r="G11" s="37">
        <f>270183178.66149/1000</f>
        <v>270183.17866149003</v>
      </c>
      <c r="H11" s="37">
        <f>298070368.57619/1000</f>
        <v>298070.36857618997</v>
      </c>
      <c r="I11" s="37">
        <f>295315331.310435/1000</f>
        <v>295315.33131043502</v>
      </c>
      <c r="J11" s="37">
        <v>304292.92200000002</v>
      </c>
      <c r="K11" s="37">
        <v>303789.98300000001</v>
      </c>
      <c r="L11" s="37">
        <v>325000.68944476999</v>
      </c>
      <c r="M11" s="37">
        <v>356026</v>
      </c>
      <c r="N11" s="3"/>
    </row>
    <row r="12" spans="1:15" x14ac:dyDescent="0.2">
      <c r="A12" t="s">
        <v>1</v>
      </c>
      <c r="B12" s="37">
        <f>26836130/1000</f>
        <v>26836.13</v>
      </c>
      <c r="C12" s="37">
        <f>30746912.51894/1000</f>
        <v>30746.91251894</v>
      </c>
      <c r="D12" s="37">
        <f>30922788/1000</f>
        <v>30922.788</v>
      </c>
      <c r="E12" s="37">
        <f>33588992.30085/1000</f>
        <v>33588.992300849997</v>
      </c>
      <c r="F12" s="37">
        <f>34753563.24935/1000</f>
        <v>34753.563249349994</v>
      </c>
      <c r="G12" s="37">
        <f>35920911.16419/1000</f>
        <v>35920.911164190002</v>
      </c>
      <c r="H12" s="37">
        <f>36651316.63504/1000</f>
        <v>36651.316635039999</v>
      </c>
      <c r="I12" s="37">
        <f>38412881.9304816/1000</f>
        <v>38412.881930481599</v>
      </c>
      <c r="J12" s="37">
        <f>38412881.9304816/1000</f>
        <v>38412.881930481599</v>
      </c>
      <c r="K12" s="37">
        <v>44888.769</v>
      </c>
      <c r="L12" s="37">
        <v>54934.222912910001</v>
      </c>
      <c r="M12" s="37">
        <v>47230</v>
      </c>
    </row>
    <row r="13" spans="1:15" x14ac:dyDescent="0.2">
      <c r="A13" t="s">
        <v>2</v>
      </c>
      <c r="B13" s="37">
        <f>40709810/1000</f>
        <v>40709.81</v>
      </c>
      <c r="C13" s="37">
        <f>47277460.0681867/1000</f>
        <v>47277.460068186701</v>
      </c>
      <c r="D13" s="37">
        <f>50921778.2984043/1000</f>
        <v>50921.778298404301</v>
      </c>
      <c r="E13" s="37">
        <f>53710229.008694/1000</f>
        <v>53710.229008693997</v>
      </c>
      <c r="F13" s="37">
        <f>56073180.7674526/1000</f>
        <v>56073.180767452599</v>
      </c>
      <c r="G13" s="37">
        <f>61936185.777334/1000</f>
        <v>61936.185777333994</v>
      </c>
      <c r="H13" s="37">
        <f>67138521.0075789/1000</f>
        <v>67138.521007578893</v>
      </c>
      <c r="I13" s="37">
        <f>58089506.5817737/1000</f>
        <v>58089.506581773698</v>
      </c>
      <c r="J13" s="37">
        <f>68963288/1000</f>
        <v>68963.288</v>
      </c>
      <c r="K13" s="37">
        <v>58734.326000000001</v>
      </c>
      <c r="L13" s="44">
        <v>0</v>
      </c>
      <c r="M13" s="37">
        <v>49893</v>
      </c>
    </row>
    <row r="14" spans="1:15" x14ac:dyDescent="0.2">
      <c r="A14" t="s">
        <v>14</v>
      </c>
      <c r="B14" s="34">
        <f>17968120.82/1000</f>
        <v>17968.12082</v>
      </c>
      <c r="C14" s="34">
        <f>22189073.9517147/1000</f>
        <v>22189.073951714698</v>
      </c>
      <c r="D14" s="34">
        <f>21027308.4239348/1000</f>
        <v>21027.308423934799</v>
      </c>
      <c r="E14" s="34">
        <f>20617732.7099233/1000</f>
        <v>20617.732709923301</v>
      </c>
      <c r="F14" s="34">
        <f>20664918.3501471/1000</f>
        <v>20664.918350147098</v>
      </c>
      <c r="G14" s="34">
        <f>20649318.0132716/1000</f>
        <v>20649.318013271601</v>
      </c>
      <c r="H14" s="34">
        <f>20819883.5352063/1000</f>
        <v>20819.8835352063</v>
      </c>
      <c r="I14" s="34">
        <f>21386171.9277056/1000</f>
        <v>21386.1719277056</v>
      </c>
      <c r="J14" s="34">
        <f>21399506.68/1000</f>
        <v>21399.506679999999</v>
      </c>
      <c r="K14" s="34">
        <v>20166.49812</v>
      </c>
      <c r="L14" s="34">
        <v>20491.721109999999</v>
      </c>
      <c r="M14" s="34">
        <v>21124</v>
      </c>
    </row>
    <row r="15" spans="1:15" x14ac:dyDescent="0.2">
      <c r="A15" t="s">
        <v>3</v>
      </c>
      <c r="B15" s="34">
        <f>2224546.71/1000</f>
        <v>2224.5467100000001</v>
      </c>
      <c r="C15" s="34">
        <f>2243993.88228/1000</f>
        <v>2243.99388228</v>
      </c>
      <c r="D15" s="34">
        <f>2245446.63043/1000</f>
        <v>2245.4466304299999</v>
      </c>
      <c r="E15" s="34">
        <f>2217357.25806/1000</f>
        <v>2217.3572580599998</v>
      </c>
      <c r="F15" s="34">
        <f>2206745.32004/1000</f>
        <v>2206.74532004</v>
      </c>
      <c r="G15" s="34">
        <f>2193837.76/1000</f>
        <v>2193.8377599999999</v>
      </c>
      <c r="H15" s="34">
        <f>2215505.87107/1000</f>
        <v>2215.50587107</v>
      </c>
      <c r="I15" s="34">
        <f>2158698.17328/1000</f>
        <v>2158.6981732800004</v>
      </c>
      <c r="J15" s="34">
        <f>2156989.44/1000</f>
        <v>2156.9894399999998</v>
      </c>
      <c r="K15" s="34">
        <v>2080.1018400000003</v>
      </c>
      <c r="L15" s="34">
        <v>2099.80377</v>
      </c>
      <c r="M15" s="34">
        <v>2005</v>
      </c>
    </row>
    <row r="16" spans="1:15" x14ac:dyDescent="0.2">
      <c r="A16" t="s">
        <v>4</v>
      </c>
      <c r="B16" s="37">
        <f>97231012/1000</f>
        <v>97231.012000000002</v>
      </c>
      <c r="C16" s="37">
        <v>93326.401991583291</v>
      </c>
      <c r="D16" s="37">
        <f>(493494813.7)/1000-(D10+D11+D12+D13)</f>
        <v>94458.729401595716</v>
      </c>
      <c r="E16" s="37">
        <v>93724.575108528021</v>
      </c>
      <c r="F16" s="37">
        <f>515528178.550573/1000-F10-F11-F12-F13</f>
        <v>95307.515474580432</v>
      </c>
      <c r="G16" s="37">
        <f>521767782.731938/1000-G10-G11-G12-G13</f>
        <v>97478.45916579396</v>
      </c>
      <c r="H16" s="37">
        <f>99403270.6432444/1000</f>
        <v>99403.270643244396</v>
      </c>
      <c r="I16" s="37">
        <f>90930233.5489852/1000</f>
        <v>90930.233548985198</v>
      </c>
      <c r="J16" s="37">
        <f>544330-J13-J12-J11-J10</f>
        <v>92145.261069518398</v>
      </c>
      <c r="K16" s="37">
        <v>84362.904999999999</v>
      </c>
      <c r="L16" s="37">
        <f>(540121480/1000)-L10-L11-L12-L13</f>
        <v>132324.08597247</v>
      </c>
      <c r="M16" s="37">
        <v>67343</v>
      </c>
      <c r="O16" s="3"/>
    </row>
    <row r="17" spans="1:13" x14ac:dyDescent="0.2">
      <c r="B17" s="34"/>
      <c r="C17" s="34"/>
      <c r="D17" s="34"/>
      <c r="E17" s="34"/>
      <c r="F17" s="34"/>
      <c r="G17" s="34"/>
      <c r="H17" s="34"/>
      <c r="I17" s="34"/>
      <c r="J17" s="34"/>
      <c r="K17" s="34"/>
      <c r="L17" s="34"/>
      <c r="M17" s="34"/>
    </row>
    <row r="18" spans="1:13" ht="13.5" thickBot="1" x14ac:dyDescent="0.25">
      <c r="A18" s="2" t="s">
        <v>11</v>
      </c>
      <c r="B18" s="35">
        <f t="shared" ref="B18:G18" si="1">B19+B20+B21+B22</f>
        <v>178175.99228431276</v>
      </c>
      <c r="C18" s="35">
        <f t="shared" si="1"/>
        <v>172931.51546251398</v>
      </c>
      <c r="D18" s="35">
        <f t="shared" si="1"/>
        <v>174078.76129908787</v>
      </c>
      <c r="E18" s="35">
        <f t="shared" si="1"/>
        <v>179666.0649</v>
      </c>
      <c r="F18" s="35">
        <f t="shared" si="1"/>
        <v>192615.49732440794</v>
      </c>
      <c r="G18" s="35">
        <f t="shared" si="1"/>
        <v>218335.62131456443</v>
      </c>
      <c r="H18" s="35">
        <f>H19+H20+H21+H22</f>
        <v>263634.96179322177</v>
      </c>
      <c r="I18" s="35">
        <f>I19+I20+I21+I22</f>
        <v>231985.91184757842</v>
      </c>
      <c r="J18" s="35">
        <f>J19+J20+J21+J22</f>
        <v>296047.96999999997</v>
      </c>
      <c r="K18" s="35">
        <v>269014.34799000004</v>
      </c>
      <c r="L18" s="35">
        <f>SUM(L19:L22)</f>
        <v>274557.92290307913</v>
      </c>
      <c r="M18" s="35">
        <f>SUM(M19:M22)</f>
        <v>269752.54193237575</v>
      </c>
    </row>
    <row r="19" spans="1:13" x14ac:dyDescent="0.2">
      <c r="A19" t="s">
        <v>5</v>
      </c>
      <c r="B19" s="37">
        <f>54391541.8342643*2.4183/1000</f>
        <v>131535.06561780136</v>
      </c>
      <c r="C19" s="37">
        <f>54369.922*2.3482</f>
        <v>127671.45084039999</v>
      </c>
      <c r="D19" s="37">
        <f>(55626077.3194933/1000)*2.3236</f>
        <v>129252.75325957462</v>
      </c>
      <c r="E19" s="37">
        <f>134051023.575/1000</f>
        <v>134051.023575</v>
      </c>
      <c r="F19" s="37">
        <f>143611597.881918/1000</f>
        <v>143611.59788191802</v>
      </c>
      <c r="G19" s="37">
        <f>57583600.9130433/1000*2.8444</f>
        <v>163790.79443706037</v>
      </c>
      <c r="H19" s="37">
        <f>194479145.087099/1000</f>
        <v>194479.14508709899</v>
      </c>
      <c r="I19" s="37">
        <f>171605372.687235/1000</f>
        <v>171605.37268723501</v>
      </c>
      <c r="J19" s="37">
        <v>220897.7</v>
      </c>
      <c r="K19" s="37">
        <v>205338.32302500002</v>
      </c>
      <c r="L19" s="37">
        <v>204856.08759275201</v>
      </c>
      <c r="M19" s="37">
        <v>200667.69556497698</v>
      </c>
    </row>
    <row r="20" spans="1:13" x14ac:dyDescent="0.2">
      <c r="A20" t="s">
        <v>6</v>
      </c>
      <c r="B20" s="37">
        <f>10060156.6600758*2.4183/1000</f>
        <v>24328.476851061307</v>
      </c>
      <c r="C20" s="37">
        <f>10045189.0113992*2.3482/1000</f>
        <v>23588.112836567598</v>
      </c>
      <c r="D20" s="37">
        <f>(10051753.4052802/1000)*2.3236</f>
        <v>23356.254212509073</v>
      </c>
      <c r="E20" s="37">
        <v>23663.9221875</v>
      </c>
      <c r="F20" s="37">
        <f>25430229.1257983/1000</f>
        <v>25430.229125798302</v>
      </c>
      <c r="G20" s="37">
        <f>10197957.1218171/1000*2.8444</f>
        <v>29007.069237296557</v>
      </c>
      <c r="H20" s="37">
        <f>38237641.1272063/1000</f>
        <v>38237.641127206305</v>
      </c>
      <c r="I20" s="37">
        <f>33097398.9609886/1000</f>
        <v>33097.398960988598</v>
      </c>
      <c r="J20" s="37">
        <v>40135.870000000003</v>
      </c>
      <c r="K20" s="37">
        <v>37312.786079999998</v>
      </c>
      <c r="L20" s="37">
        <v>37056.893769651797</v>
      </c>
      <c r="M20" s="37">
        <v>38952.453139247496</v>
      </c>
    </row>
    <row r="21" spans="1:13" x14ac:dyDescent="0.2">
      <c r="A21" t="s">
        <v>7</v>
      </c>
      <c r="B21" s="34">
        <f>3400573.31728*2.4183/1000</f>
        <v>8223.6064531782249</v>
      </c>
      <c r="C21" s="38">
        <f>3396304.4177*2.3482/1000</f>
        <v>7975.2020336431397</v>
      </c>
      <c r="D21" s="38">
        <f>(3395571.05552/1000)*2.3236</f>
        <v>7889.9489046062708</v>
      </c>
      <c r="E21" s="38">
        <v>8027.2150874999988</v>
      </c>
      <c r="F21" s="38">
        <f>8575448.64997652/1000</f>
        <v>8575.4486499765208</v>
      </c>
      <c r="G21" s="38">
        <f>3403163.47421/1000*2.8444</f>
        <v>9679.9581860429225</v>
      </c>
      <c r="H21" s="38">
        <f>11667216.0296611/1000</f>
        <v>11667.2160296611</v>
      </c>
      <c r="I21" s="38">
        <f>10272029.1170208/1000</f>
        <v>10272.0291170208</v>
      </c>
      <c r="J21" s="38">
        <v>13217.92</v>
      </c>
      <c r="K21" s="38">
        <v>12368.03904</v>
      </c>
      <c r="L21" s="38">
        <v>12339.1988239864</v>
      </c>
      <c r="M21" s="38">
        <v>11989.025492861601</v>
      </c>
    </row>
    <row r="22" spans="1:13" x14ac:dyDescent="0.2">
      <c r="A22" t="s">
        <v>8</v>
      </c>
      <c r="B22" s="34">
        <f>5825928.69464991*2.4183/1000</f>
        <v>14088.843362271875</v>
      </c>
      <c r="C22" s="34">
        <f>5832871.88139991*2.3482/1000</f>
        <v>13696.749751903268</v>
      </c>
      <c r="D22" s="34">
        <f>(5844295.45635991/1000)*2.3236</f>
        <v>13579.804922397885</v>
      </c>
      <c r="E22" s="34">
        <v>13923.904049999999</v>
      </c>
      <c r="F22" s="34">
        <f>14998221.6667151/1000</f>
        <v>14998.221666715101</v>
      </c>
      <c r="G22" s="34">
        <f>5575094.73145991/1000*2.8444</f>
        <v>15857.799454164566</v>
      </c>
      <c r="H22" s="34">
        <f>19250959.5492554/1000</f>
        <v>19250.9595492554</v>
      </c>
      <c r="I22" s="34">
        <f>17011111.082334/1000</f>
        <v>17011.111082334002</v>
      </c>
      <c r="J22" s="34">
        <v>21796.48</v>
      </c>
      <c r="K22" s="34">
        <v>20361.779190000001</v>
      </c>
      <c r="L22" s="34">
        <v>20305.742716688903</v>
      </c>
      <c r="M22" s="34">
        <v>18143.367735289699</v>
      </c>
    </row>
    <row r="23" spans="1:13" ht="13.5" thickBot="1" x14ac:dyDescent="0.25">
      <c r="A23" s="6"/>
      <c r="B23" s="36"/>
      <c r="C23" s="36"/>
      <c r="D23" s="36"/>
      <c r="E23" s="36"/>
      <c r="F23" s="36"/>
      <c r="G23" s="36"/>
      <c r="H23" s="36"/>
      <c r="I23" s="36"/>
      <c r="J23" s="36"/>
      <c r="K23" s="36"/>
      <c r="L23" s="36"/>
      <c r="M23" s="36"/>
    </row>
    <row r="24" spans="1:13" x14ac:dyDescent="0.2">
      <c r="A24" s="1" t="s">
        <v>9</v>
      </c>
      <c r="B24" s="32">
        <f t="shared" ref="B24:G24" si="2">+B9+B18</f>
        <v>690861.74881431286</v>
      </c>
      <c r="C24" s="32">
        <f t="shared" si="2"/>
        <v>695919.73629650869</v>
      </c>
      <c r="D24" s="32">
        <f t="shared" si="2"/>
        <v>690846.33005345264</v>
      </c>
      <c r="E24" s="32">
        <f t="shared" si="2"/>
        <v>710798.82033558527</v>
      </c>
      <c r="F24" s="32">
        <f t="shared" si="2"/>
        <v>731015.33954516798</v>
      </c>
      <c r="G24" s="32">
        <f t="shared" si="2"/>
        <v>762946.559819774</v>
      </c>
      <c r="H24" s="32">
        <f t="shared" ref="H24:M24" si="3">+H9+H18</f>
        <v>839680.23535156134</v>
      </c>
      <c r="I24" s="32">
        <f t="shared" si="3"/>
        <v>786466.00247284747</v>
      </c>
      <c r="J24" s="32">
        <f t="shared" si="3"/>
        <v>840377.97</v>
      </c>
      <c r="K24" s="32">
        <f t="shared" si="3"/>
        <v>801807.24499000004</v>
      </c>
      <c r="L24" s="32">
        <f t="shared" si="3"/>
        <v>837270.92778307898</v>
      </c>
      <c r="M24" s="32">
        <f t="shared" si="3"/>
        <v>826957.13374373573</v>
      </c>
    </row>
    <row r="25" spans="1:13" x14ac:dyDescent="0.2">
      <c r="A25" s="20"/>
      <c r="B25" s="20"/>
      <c r="C25" s="20"/>
      <c r="D25" s="20"/>
      <c r="E25" s="20"/>
      <c r="F25" s="20"/>
      <c r="G25" s="20"/>
      <c r="H25" s="20"/>
      <c r="I25" s="20"/>
      <c r="J25" s="20"/>
      <c r="K25" s="20"/>
      <c r="L25" s="20"/>
      <c r="M25" s="20"/>
    </row>
    <row r="26" spans="1:13" x14ac:dyDescent="0.2">
      <c r="A26" s="7" t="s">
        <v>15</v>
      </c>
    </row>
    <row r="27" spans="1:13" x14ac:dyDescent="0.2">
      <c r="A27" s="7"/>
    </row>
    <row r="28" spans="1:13" x14ac:dyDescent="0.2">
      <c r="D28" s="12"/>
      <c r="E28" s="12"/>
      <c r="F28" s="12"/>
      <c r="G28" s="12"/>
      <c r="H28" s="12"/>
      <c r="I28" s="12"/>
    </row>
  </sheetData>
  <phoneticPr fontId="0" type="noConversion"/>
  <pageMargins left="0.78740157499999996" right="0.78740157499999996" top="0.984251969" bottom="0.984251969" header="0.49212598499999999" footer="0.49212598499999999"/>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workbookViewId="0">
      <pane xSplit="1" topLeftCell="B1" activePane="topRight" state="frozen"/>
      <selection activeCell="E1" sqref="E1:G2"/>
      <selection pane="topRight" activeCell="D16" sqref="D16"/>
    </sheetView>
  </sheetViews>
  <sheetFormatPr defaultRowHeight="12.75" x14ac:dyDescent="0.2"/>
  <cols>
    <col min="1" max="1" width="41.85546875" customWidth="1"/>
    <col min="2" max="2" width="11.140625" bestFit="1" customWidth="1"/>
    <col min="3" max="3" width="13.5703125" bestFit="1" customWidth="1"/>
    <col min="4" max="4" width="16.85546875" customWidth="1"/>
    <col min="5" max="5" width="21.140625" bestFit="1" customWidth="1"/>
    <col min="6" max="6" width="17.5703125" bestFit="1" customWidth="1"/>
    <col min="7" max="13" width="16.85546875" customWidth="1"/>
    <col min="14" max="14" width="10" bestFit="1" customWidth="1"/>
  </cols>
  <sheetData>
    <row r="1" spans="1:14" ht="26.25" x14ac:dyDescent="0.4">
      <c r="A1" s="13" t="s">
        <v>20</v>
      </c>
      <c r="B1" s="14" t="s">
        <v>18</v>
      </c>
      <c r="C1" s="15"/>
      <c r="D1" s="16"/>
    </row>
    <row r="2" spans="1:14" x14ac:dyDescent="0.2">
      <c r="A2" s="14"/>
      <c r="B2" s="15"/>
      <c r="C2" s="15"/>
      <c r="D2" s="16"/>
    </row>
    <row r="3" spans="1:14" x14ac:dyDescent="0.2">
      <c r="A3" s="17" t="s">
        <v>21</v>
      </c>
      <c r="B3" s="1"/>
      <c r="C3" s="1"/>
      <c r="D3" s="18"/>
      <c r="E3" s="18"/>
      <c r="F3" s="11"/>
      <c r="G3" s="11"/>
      <c r="H3" s="11"/>
      <c r="I3" s="11"/>
      <c r="K3" s="39"/>
    </row>
    <row r="4" spans="1:14" x14ac:dyDescent="0.2">
      <c r="A4" s="17" t="s">
        <v>22</v>
      </c>
      <c r="B4" s="1"/>
      <c r="C4" s="1"/>
      <c r="D4" s="18"/>
      <c r="E4" s="18"/>
    </row>
    <row r="6" spans="1:14" x14ac:dyDescent="0.2">
      <c r="A6" s="1" t="s">
        <v>16</v>
      </c>
    </row>
    <row r="7" spans="1:14" x14ac:dyDescent="0.2">
      <c r="A7" s="1" t="s">
        <v>23</v>
      </c>
    </row>
    <row r="8" spans="1:14" ht="13.5" thickBot="1" x14ac:dyDescent="0.25">
      <c r="B8" s="21">
        <v>37622</v>
      </c>
      <c r="C8" s="21">
        <v>37653</v>
      </c>
      <c r="D8" s="21">
        <v>37681</v>
      </c>
      <c r="E8" s="21">
        <v>37712</v>
      </c>
      <c r="F8" s="21">
        <v>37742</v>
      </c>
      <c r="G8" s="21">
        <v>37773</v>
      </c>
      <c r="H8" s="21">
        <v>37803</v>
      </c>
      <c r="I8" s="21">
        <v>37834</v>
      </c>
      <c r="J8" s="21">
        <v>37865</v>
      </c>
      <c r="K8" s="21">
        <v>37895</v>
      </c>
      <c r="L8" s="21">
        <v>37926</v>
      </c>
      <c r="M8" s="21">
        <v>37956</v>
      </c>
    </row>
    <row r="9" spans="1:14" ht="13.5" thickBot="1" x14ac:dyDescent="0.25">
      <c r="A9" s="19" t="s">
        <v>10</v>
      </c>
      <c r="B9" s="23">
        <f t="shared" ref="B9:G9" si="0">SUM(B10:B16)</f>
        <v>575019.41408662777</v>
      </c>
      <c r="C9" s="23">
        <f t="shared" si="0"/>
        <v>512115.89644015394</v>
      </c>
      <c r="D9" s="23">
        <f t="shared" si="0"/>
        <v>599228.04568307556</v>
      </c>
      <c r="E9" s="23">
        <f t="shared" si="0"/>
        <v>602799.67958</v>
      </c>
      <c r="F9" s="23">
        <f t="shared" si="0"/>
        <v>621757.08341705508</v>
      </c>
      <c r="G9" s="23">
        <f t="shared" si="0"/>
        <v>633899.15618402301</v>
      </c>
      <c r="H9" s="23">
        <f t="shared" ref="H9:M9" si="1">SUM(H10:H16)</f>
        <v>656069.64246538095</v>
      </c>
      <c r="I9" s="23">
        <f t="shared" si="1"/>
        <v>663166.53076815</v>
      </c>
      <c r="J9" s="23">
        <f t="shared" si="1"/>
        <v>676009.01797239995</v>
      </c>
      <c r="K9" s="23">
        <f t="shared" si="1"/>
        <v>689125.26404999988</v>
      </c>
      <c r="L9" s="23">
        <f t="shared" si="1"/>
        <v>700668.49723999994</v>
      </c>
      <c r="M9" s="23">
        <f t="shared" si="1"/>
        <v>703319.98556451406</v>
      </c>
    </row>
    <row r="10" spans="1:14" x14ac:dyDescent="0.2">
      <c r="A10" t="s">
        <v>0</v>
      </c>
      <c r="B10" s="37">
        <v>12118.163989799999</v>
      </c>
      <c r="C10" s="37">
        <v>12720.720483039999</v>
      </c>
      <c r="D10" s="37">
        <v>15575.847021039997</v>
      </c>
      <c r="E10" s="37">
        <v>12201.210341619999</v>
      </c>
      <c r="F10" s="37">
        <v>21489.819673130001</v>
      </c>
      <c r="G10" s="37">
        <v>29914.784117929998</v>
      </c>
      <c r="H10" s="37">
        <v>43420.951881550005</v>
      </c>
      <c r="I10" s="37">
        <v>51588.349085919996</v>
      </c>
      <c r="J10" s="37">
        <v>63995.793068389998</v>
      </c>
      <c r="K10" s="37">
        <f>70985.378</f>
        <v>70985.377999999997</v>
      </c>
      <c r="L10" s="37">
        <f>85216.55746</f>
        <v>85216.557459999996</v>
      </c>
      <c r="M10" s="37">
        <v>91309.851906231997</v>
      </c>
    </row>
    <row r="11" spans="1:14" x14ac:dyDescent="0.2">
      <c r="A11" t="s">
        <v>19</v>
      </c>
      <c r="B11" s="37">
        <v>375453.24757529004</v>
      </c>
      <c r="C11" s="37">
        <v>381234.33614011004</v>
      </c>
      <c r="D11" s="37">
        <v>396818.97761278006</v>
      </c>
      <c r="E11" s="37">
        <v>413909.02857438999</v>
      </c>
      <c r="F11" s="37">
        <v>421656.88760884001</v>
      </c>
      <c r="G11" s="37">
        <v>427736.12224786001</v>
      </c>
      <c r="H11" s="37">
        <v>436437.74647784996</v>
      </c>
      <c r="I11" s="37">
        <v>438867.02963160997</v>
      </c>
      <c r="J11" s="37">
        <v>438764.91102944996</v>
      </c>
      <c r="K11" s="37">
        <v>443403.886</v>
      </c>
      <c r="L11" s="37">
        <v>439395.55898999999</v>
      </c>
      <c r="M11" s="37">
        <v>433346.53274786199</v>
      </c>
    </row>
    <row r="12" spans="1:14" x14ac:dyDescent="0.2">
      <c r="A12" t="s">
        <v>1</v>
      </c>
      <c r="B12" s="37">
        <v>47877.85071174</v>
      </c>
      <c r="C12" s="37">
        <v>50031.254451459994</v>
      </c>
      <c r="D12" s="37">
        <v>51907.461072790014</v>
      </c>
      <c r="E12" s="37">
        <v>53177.931722419991</v>
      </c>
      <c r="F12" s="37">
        <v>54257.460628699999</v>
      </c>
      <c r="G12" s="37">
        <v>53870.428289800002</v>
      </c>
      <c r="H12" s="37">
        <v>53259.816320260004</v>
      </c>
      <c r="I12" s="37">
        <v>54280.879472109998</v>
      </c>
      <c r="J12" s="37">
        <v>56636.766504549996</v>
      </c>
      <c r="K12" s="37">
        <v>57837.514999999999</v>
      </c>
      <c r="L12" s="37">
        <v>58810.320549999997</v>
      </c>
      <c r="M12" s="37">
        <v>61897.427931269995</v>
      </c>
    </row>
    <row r="13" spans="1:14" x14ac:dyDescent="0.2">
      <c r="A13" t="s">
        <v>2</v>
      </c>
      <c r="B13" s="37">
        <v>49610.618082040004</v>
      </c>
      <c r="C13" s="44">
        <v>0</v>
      </c>
      <c r="D13" s="37">
        <v>45973.675093949998</v>
      </c>
      <c r="E13" s="37">
        <v>36875.126523319996</v>
      </c>
      <c r="F13" s="37">
        <v>36331.034377790005</v>
      </c>
      <c r="G13" s="37">
        <v>35626.030022780003</v>
      </c>
      <c r="H13" s="37">
        <v>34528.677329759994</v>
      </c>
      <c r="I13" s="37">
        <v>34510.472183190002</v>
      </c>
      <c r="J13" s="37">
        <v>31397.833357770003</v>
      </c>
      <c r="K13" s="37">
        <v>29651.659</v>
      </c>
      <c r="L13" s="37">
        <v>30655.044740000001</v>
      </c>
      <c r="M13" s="37">
        <v>30110.125297199997</v>
      </c>
    </row>
    <row r="14" spans="1:14" x14ac:dyDescent="0.2">
      <c r="A14" t="s">
        <v>14</v>
      </c>
      <c r="B14" s="34">
        <v>21222.574018330801</v>
      </c>
      <c r="C14" s="34">
        <v>21508.50071</v>
      </c>
      <c r="D14" s="34">
        <v>21507.256329999997</v>
      </c>
      <c r="E14" s="34">
        <v>21760.859109999998</v>
      </c>
      <c r="F14" s="34">
        <v>21969.12086467</v>
      </c>
      <c r="G14" s="34">
        <v>21976.381839999998</v>
      </c>
      <c r="H14" s="34">
        <v>22878.354870000003</v>
      </c>
      <c r="I14" s="34">
        <v>21567.790010000001</v>
      </c>
      <c r="J14" s="34">
        <v>21388.198960000002</v>
      </c>
      <c r="K14" s="34">
        <v>22197.149089999999</v>
      </c>
      <c r="L14" s="34">
        <v>20953.14242</v>
      </c>
      <c r="M14" s="34">
        <f>19888697.94/1000</f>
        <v>19888.697940000002</v>
      </c>
    </row>
    <row r="15" spans="1:14" x14ac:dyDescent="0.2">
      <c r="A15" t="s">
        <v>3</v>
      </c>
      <c r="B15" s="34">
        <v>1999.8914499999998</v>
      </c>
      <c r="C15" s="34">
        <v>1986.81203</v>
      </c>
      <c r="D15" s="34">
        <v>1981.0591299999999</v>
      </c>
      <c r="E15" s="34">
        <v>1993.1364699999999</v>
      </c>
      <c r="F15" s="34">
        <v>2110.07287</v>
      </c>
      <c r="G15" s="34">
        <v>2080.0230900000001</v>
      </c>
      <c r="H15" s="34">
        <v>2071.6569199999999</v>
      </c>
      <c r="I15" s="34">
        <v>2057.26019</v>
      </c>
      <c r="J15" s="34">
        <v>2043.9895800000002</v>
      </c>
      <c r="K15" s="34">
        <v>2058.5043700000001</v>
      </c>
      <c r="L15" s="34">
        <v>2015.0821100000001</v>
      </c>
      <c r="M15" s="34">
        <f>1933277.26/1000</f>
        <v>1933.2772600000001</v>
      </c>
    </row>
    <row r="16" spans="1:14" x14ac:dyDescent="0.2">
      <c r="A16" t="s">
        <v>4</v>
      </c>
      <c r="B16" s="37">
        <v>66737.068259427004</v>
      </c>
      <c r="C16" s="37">
        <v>44634.27262554397</v>
      </c>
      <c r="D16" s="37">
        <v>65463.769422515514</v>
      </c>
      <c r="E16" s="37">
        <v>62882.386838250008</v>
      </c>
      <c r="F16" s="37">
        <v>63942.687393925014</v>
      </c>
      <c r="G16" s="37">
        <v>62695.386575652898</v>
      </c>
      <c r="H16" s="37">
        <v>63472.438665960966</v>
      </c>
      <c r="I16" s="37">
        <v>60294.75019532007</v>
      </c>
      <c r="J16" s="37">
        <v>61781.5254722401</v>
      </c>
      <c r="K16" s="37">
        <v>62991.172589999995</v>
      </c>
      <c r="L16" s="37">
        <v>63622.790970000002</v>
      </c>
      <c r="M16" s="37">
        <v>64834.072481950003</v>
      </c>
      <c r="N16" s="3"/>
    </row>
    <row r="17" spans="1:13" x14ac:dyDescent="0.2">
      <c r="B17" s="34"/>
      <c r="C17" s="34"/>
      <c r="D17" s="34"/>
      <c r="E17" s="34"/>
      <c r="F17" s="34"/>
      <c r="G17" s="34"/>
      <c r="H17" s="34"/>
      <c r="I17" s="34"/>
      <c r="J17" s="34"/>
      <c r="K17" s="34"/>
      <c r="L17" s="34"/>
      <c r="M17" s="34"/>
    </row>
    <row r="18" spans="1:13" ht="13.5" thickBot="1" x14ac:dyDescent="0.25">
      <c r="A18" s="2" t="s">
        <v>11</v>
      </c>
      <c r="B18" s="35">
        <f t="shared" ref="B18:G18" si="2">B19+B20+B21+B22</f>
        <v>270157.73380265868</v>
      </c>
      <c r="C18" s="35">
        <f t="shared" si="2"/>
        <v>273305.53563778877</v>
      </c>
      <c r="D18" s="35">
        <f t="shared" si="2"/>
        <v>255982.56825592273</v>
      </c>
      <c r="E18" s="35">
        <f t="shared" si="2"/>
        <v>218613.85837619996</v>
      </c>
      <c r="F18" s="35">
        <f t="shared" si="2"/>
        <v>224024.60778915149</v>
      </c>
      <c r="G18" s="35">
        <f t="shared" si="2"/>
        <v>223745.29307676069</v>
      </c>
      <c r="H18" s="35">
        <f t="shared" ref="H18:M18" si="3">H19+H20+H21+H22</f>
        <v>228969.20042041288</v>
      </c>
      <c r="I18" s="35">
        <f t="shared" si="3"/>
        <v>222730.93100671697</v>
      </c>
      <c r="J18" s="35">
        <f t="shared" si="3"/>
        <v>223536.82920880456</v>
      </c>
      <c r="K18" s="35">
        <f t="shared" si="3"/>
        <v>222971.02364606803</v>
      </c>
      <c r="L18" s="35">
        <f t="shared" si="3"/>
        <v>230932.72607926495</v>
      </c>
      <c r="M18" s="35">
        <f t="shared" si="3"/>
        <v>226053.17704878404</v>
      </c>
    </row>
    <row r="19" spans="1:13" x14ac:dyDescent="0.2">
      <c r="A19" t="s">
        <v>5</v>
      </c>
      <c r="B19" s="37">
        <v>200986.78195199638</v>
      </c>
      <c r="C19" s="37">
        <v>203367.84649218601</v>
      </c>
      <c r="D19" s="37">
        <v>189793.67956539086</v>
      </c>
      <c r="E19" s="37">
        <v>161393.17709899999</v>
      </c>
      <c r="F19" s="37">
        <v>165442.12107782546</v>
      </c>
      <c r="G19" s="37">
        <v>167339.23472886876</v>
      </c>
      <c r="H19" s="37">
        <v>172309.4202189683</v>
      </c>
      <c r="I19" s="37">
        <v>166861.7798132202</v>
      </c>
      <c r="J19" s="37">
        <v>167657.43667971433</v>
      </c>
      <c r="K19" s="37">
        <v>167760.73672442112</v>
      </c>
      <c r="L19" s="37">
        <v>173813.07434700913</v>
      </c>
      <c r="M19" s="37">
        <v>171613.97183389173</v>
      </c>
    </row>
    <row r="20" spans="1:13" x14ac:dyDescent="0.2">
      <c r="A20" t="s">
        <v>6</v>
      </c>
      <c r="B20" s="37">
        <v>39015.285286814964</v>
      </c>
      <c r="C20" s="37">
        <v>39480.204090151921</v>
      </c>
      <c r="D20" s="37">
        <v>36015.037494771197</v>
      </c>
      <c r="E20" s="37">
        <v>31026.222107999998</v>
      </c>
      <c r="F20" s="37">
        <v>32424.036866403381</v>
      </c>
      <c r="G20" s="37">
        <v>32300.396529244172</v>
      </c>
      <c r="H20" s="37">
        <v>31964.891229715224</v>
      </c>
      <c r="I20" s="37">
        <v>31339.966264801435</v>
      </c>
      <c r="J20" s="37">
        <v>31273.229745612414</v>
      </c>
      <c r="K20" s="37">
        <v>30747.818243952795</v>
      </c>
      <c r="L20" s="37">
        <v>31705.044671440523</v>
      </c>
      <c r="M20" s="37">
        <v>30947.298342614755</v>
      </c>
    </row>
    <row r="21" spans="1:13" x14ac:dyDescent="0.2">
      <c r="A21" t="s">
        <v>7</v>
      </c>
      <c r="B21" s="34">
        <v>11968.950421328998</v>
      </c>
      <c r="C21" s="34">
        <v>12080.831883056111</v>
      </c>
      <c r="D21" s="34">
        <v>11364.016891862335</v>
      </c>
      <c r="E21" s="34">
        <v>9792.3676106000003</v>
      </c>
      <c r="F21" s="34">
        <v>9351.8710410356452</v>
      </c>
      <c r="G21" s="34">
        <v>9283.7350814989604</v>
      </c>
      <c r="H21" s="34">
        <v>9571.6581026138556</v>
      </c>
      <c r="I21" s="34">
        <v>9559.3936810361029</v>
      </c>
      <c r="J21" s="34">
        <v>9413.1731415356753</v>
      </c>
      <c r="K21" s="34">
        <v>9201.4665893407364</v>
      </c>
      <c r="L21" s="34">
        <v>9495.4934263259202</v>
      </c>
      <c r="M21" s="34">
        <v>9298.4276536993548</v>
      </c>
    </row>
    <row r="22" spans="1:13" x14ac:dyDescent="0.2">
      <c r="A22" t="s">
        <v>8</v>
      </c>
      <c r="B22" s="34">
        <v>18186.71614251834</v>
      </c>
      <c r="C22" s="34">
        <v>18376.653172394723</v>
      </c>
      <c r="D22" s="34">
        <v>18809.834303898351</v>
      </c>
      <c r="E22" s="34">
        <v>16402.091558600001</v>
      </c>
      <c r="F22" s="34">
        <v>16806.578803886983</v>
      </c>
      <c r="G22" s="34">
        <v>14821.926737148802</v>
      </c>
      <c r="H22" s="34">
        <v>15123.230869115516</v>
      </c>
      <c r="I22" s="34">
        <v>14969.791247659219</v>
      </c>
      <c r="J22" s="34">
        <v>15192.989641942131</v>
      </c>
      <c r="K22" s="34">
        <v>15261.002088353391</v>
      </c>
      <c r="L22" s="34">
        <v>15919.113634489366</v>
      </c>
      <c r="M22" s="34">
        <v>14193.479218578188</v>
      </c>
    </row>
    <row r="23" spans="1:13" ht="13.5" thickBot="1" x14ac:dyDescent="0.25">
      <c r="A23" s="6"/>
      <c r="B23" s="36"/>
      <c r="C23" s="36"/>
      <c r="D23" s="36"/>
      <c r="E23" s="36"/>
      <c r="F23" s="36"/>
      <c r="G23" s="36"/>
      <c r="H23" s="36"/>
      <c r="I23" s="36"/>
      <c r="J23" s="36"/>
      <c r="K23" s="36"/>
      <c r="L23" s="36"/>
      <c r="M23" s="36"/>
    </row>
    <row r="24" spans="1:13" x14ac:dyDescent="0.2">
      <c r="A24" s="1" t="s">
        <v>9</v>
      </c>
      <c r="B24" s="32">
        <f t="shared" ref="B24:G24" si="4">+B9+B18</f>
        <v>845177.14788928651</v>
      </c>
      <c r="C24" s="32">
        <f t="shared" si="4"/>
        <v>785421.43207794265</v>
      </c>
      <c r="D24" s="32">
        <f t="shared" si="4"/>
        <v>855210.61393899831</v>
      </c>
      <c r="E24" s="32">
        <f t="shared" si="4"/>
        <v>821413.53795619996</v>
      </c>
      <c r="F24" s="32">
        <f t="shared" si="4"/>
        <v>845781.69120620657</v>
      </c>
      <c r="G24" s="32">
        <f t="shared" si="4"/>
        <v>857644.44926078373</v>
      </c>
      <c r="H24" s="32">
        <f t="shared" ref="H24:M24" si="5">+H9+H18</f>
        <v>885038.84288579389</v>
      </c>
      <c r="I24" s="32">
        <f t="shared" si="5"/>
        <v>885897.46177486703</v>
      </c>
      <c r="J24" s="32">
        <f t="shared" si="5"/>
        <v>899545.84718120447</v>
      </c>
      <c r="K24" s="32">
        <f t="shared" si="5"/>
        <v>912096.28769606794</v>
      </c>
      <c r="L24" s="32">
        <f t="shared" si="5"/>
        <v>931601.22331926483</v>
      </c>
      <c r="M24" s="32">
        <f t="shared" si="5"/>
        <v>929373.16261329805</v>
      </c>
    </row>
    <row r="25" spans="1:13" x14ac:dyDescent="0.2">
      <c r="A25" s="20"/>
      <c r="B25" s="20"/>
      <c r="C25" s="20"/>
      <c r="D25" s="20"/>
      <c r="E25" s="20"/>
      <c r="F25" s="20"/>
      <c r="G25" s="20"/>
      <c r="H25" s="20"/>
      <c r="I25" s="20"/>
      <c r="J25" s="20"/>
      <c r="K25" s="20"/>
      <c r="L25" s="20"/>
      <c r="M25" s="20"/>
    </row>
    <row r="26" spans="1:13" x14ac:dyDescent="0.2">
      <c r="A26" s="7" t="s">
        <v>15</v>
      </c>
    </row>
    <row r="27" spans="1:13" x14ac:dyDescent="0.2">
      <c r="A27" s="7"/>
    </row>
    <row r="28" spans="1:13" x14ac:dyDescent="0.2">
      <c r="D28" s="12"/>
      <c r="E28" s="12"/>
      <c r="F28" s="12"/>
      <c r="G28" s="12"/>
      <c r="H28" s="12"/>
      <c r="I28" s="12"/>
    </row>
    <row r="29" spans="1:13" x14ac:dyDescent="0.2">
      <c r="I29" s="12"/>
    </row>
    <row r="30" spans="1:13" x14ac:dyDescent="0.2">
      <c r="E30" s="3"/>
      <c r="I30" s="12"/>
    </row>
    <row r="31" spans="1:13" x14ac:dyDescent="0.2">
      <c r="I31" s="12"/>
    </row>
    <row r="33" spans="5:10" x14ac:dyDescent="0.2">
      <c r="E33" s="4"/>
      <c r="I33" s="12"/>
      <c r="J33" s="12"/>
    </row>
    <row r="34" spans="5:10" x14ac:dyDescent="0.2">
      <c r="I34" s="12"/>
      <c r="J34" s="12"/>
    </row>
    <row r="35" spans="5:10" x14ac:dyDescent="0.2">
      <c r="I35" s="12"/>
      <c r="J35" s="12"/>
    </row>
    <row r="36" spans="5:10" x14ac:dyDescent="0.2">
      <c r="I36" s="12"/>
      <c r="J36" s="12"/>
    </row>
  </sheetData>
  <phoneticPr fontId="0" type="noConversion"/>
  <pageMargins left="0.78740157499999996" right="0.78740157499999996" top="0.984251969" bottom="0.984251969" header="0.49212598499999999" footer="0.49212598499999999"/>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7"/>
  <sheetViews>
    <sheetView workbookViewId="0">
      <pane xSplit="1" topLeftCell="B1" activePane="topRight" state="frozen"/>
      <selection activeCell="E1" sqref="E1:G2"/>
      <selection pane="topRight" activeCell="D16" sqref="D16"/>
    </sheetView>
  </sheetViews>
  <sheetFormatPr defaultRowHeight="12.75" x14ac:dyDescent="0.2"/>
  <cols>
    <col min="1" max="1" width="41.85546875" customWidth="1"/>
    <col min="2" max="2" width="16.85546875" customWidth="1"/>
    <col min="3" max="10" width="13.5703125" customWidth="1"/>
    <col min="11" max="13" width="11.85546875" customWidth="1"/>
    <col min="14" max="14" width="12.42578125" bestFit="1" customWidth="1"/>
  </cols>
  <sheetData>
    <row r="1" spans="1:13" ht="26.25" x14ac:dyDescent="0.4">
      <c r="A1" s="13" t="s">
        <v>20</v>
      </c>
      <c r="B1" s="14" t="s">
        <v>18</v>
      </c>
      <c r="C1" s="15"/>
      <c r="D1" s="16"/>
    </row>
    <row r="2" spans="1:13" x14ac:dyDescent="0.2">
      <c r="A2" s="14"/>
      <c r="B2" s="15"/>
      <c r="C2" s="15"/>
      <c r="D2" s="16"/>
    </row>
    <row r="3" spans="1:13" x14ac:dyDescent="0.2">
      <c r="A3" s="17" t="s">
        <v>21</v>
      </c>
    </row>
    <row r="4" spans="1:13" x14ac:dyDescent="0.2">
      <c r="A4" s="17" t="s">
        <v>22</v>
      </c>
    </row>
    <row r="6" spans="1:13" x14ac:dyDescent="0.2">
      <c r="A6" s="1" t="s">
        <v>16</v>
      </c>
    </row>
    <row r="7" spans="1:13" x14ac:dyDescent="0.2">
      <c r="A7" s="1" t="s">
        <v>23</v>
      </c>
    </row>
    <row r="8" spans="1:13" ht="13.5" thickBot="1" x14ac:dyDescent="0.25">
      <c r="B8" s="21">
        <v>37987</v>
      </c>
      <c r="C8" s="21">
        <v>38018</v>
      </c>
      <c r="D8" s="21">
        <v>38047</v>
      </c>
      <c r="E8" s="21">
        <v>38078</v>
      </c>
      <c r="F8" s="21">
        <v>38108</v>
      </c>
      <c r="G8" s="21">
        <v>38139</v>
      </c>
      <c r="H8" s="21">
        <v>38169</v>
      </c>
      <c r="I8" s="21">
        <v>38200</v>
      </c>
      <c r="J8" s="21">
        <v>38231</v>
      </c>
      <c r="K8" s="21">
        <v>38261</v>
      </c>
      <c r="L8" s="21">
        <v>38292</v>
      </c>
      <c r="M8" s="21">
        <v>38322</v>
      </c>
    </row>
    <row r="9" spans="1:13" ht="13.5" thickBot="1" x14ac:dyDescent="0.25">
      <c r="A9" s="19" t="s">
        <v>10</v>
      </c>
      <c r="B9" s="23">
        <f t="shared" ref="B9:J9" si="0">SUM(B10:B16)</f>
        <v>708313.49683118355</v>
      </c>
      <c r="C9" s="23">
        <f t="shared" si="0"/>
        <v>714574.95900000003</v>
      </c>
      <c r="D9" s="23">
        <f t="shared" si="0"/>
        <v>734065.36</v>
      </c>
      <c r="E9" s="23">
        <f t="shared" si="0"/>
        <v>744454.4307958798</v>
      </c>
      <c r="F9" s="23">
        <f t="shared" si="0"/>
        <v>724948.26381371007</v>
      </c>
      <c r="G9" s="23">
        <f t="shared" si="0"/>
        <v>736414.80900000001</v>
      </c>
      <c r="H9" s="23">
        <f t="shared" si="0"/>
        <v>738987.43267458025</v>
      </c>
      <c r="I9" s="23">
        <f t="shared" si="0"/>
        <v>745543.96657124837</v>
      </c>
      <c r="J9" s="23">
        <f t="shared" si="0"/>
        <v>757366.25443871901</v>
      </c>
      <c r="K9" s="23">
        <f>SUM(K10:K16)</f>
        <v>764214.15398000006</v>
      </c>
      <c r="L9" s="23">
        <f>SUM(L10:L16)</f>
        <v>774009.52810115996</v>
      </c>
      <c r="M9" s="23">
        <f>SUM(M10:M16)</f>
        <v>799178.96465799864</v>
      </c>
    </row>
    <row r="10" spans="1:13" x14ac:dyDescent="0.2">
      <c r="A10" t="s">
        <v>0</v>
      </c>
      <c r="B10" s="37">
        <v>92174.721160935005</v>
      </c>
      <c r="C10" s="37">
        <v>100285.71799999999</v>
      </c>
      <c r="D10" s="37">
        <f>116192.319</f>
        <v>116192.319</v>
      </c>
      <c r="E10" s="37">
        <v>120271.26540187</v>
      </c>
      <c r="F10" s="37">
        <v>121508.95677475</v>
      </c>
      <c r="G10" s="37">
        <v>126435.973</v>
      </c>
      <c r="H10" s="37">
        <v>113756.11345352</v>
      </c>
      <c r="I10" s="37">
        <v>125600.96916626001</v>
      </c>
      <c r="J10" s="37">
        <v>133273.00378480001</v>
      </c>
      <c r="K10" s="37">
        <v>133507.77799999999</v>
      </c>
      <c r="L10" s="37">
        <v>144909.23741083001</v>
      </c>
      <c r="M10" s="37">
        <v>159841.56596812996</v>
      </c>
    </row>
    <row r="11" spans="1:13" x14ac:dyDescent="0.2">
      <c r="A11" t="s">
        <v>19</v>
      </c>
      <c r="B11" s="37">
        <v>436104.83629494201</v>
      </c>
      <c r="C11" s="37">
        <v>425157.19099999999</v>
      </c>
      <c r="D11" s="37">
        <f>440258.89</f>
        <v>440258.89</v>
      </c>
      <c r="E11" s="37">
        <v>442530.70134516002</v>
      </c>
      <c r="F11" s="37">
        <v>417499.09424997005</v>
      </c>
      <c r="G11" s="37">
        <v>420989.2</v>
      </c>
      <c r="H11" s="37">
        <v>436969.56734043005</v>
      </c>
      <c r="I11" s="37">
        <v>430126.02944242</v>
      </c>
      <c r="J11" s="37">
        <v>434073.99998103007</v>
      </c>
      <c r="K11" s="37">
        <v>443118.82</v>
      </c>
      <c r="L11" s="37">
        <v>442978.96041031997</v>
      </c>
      <c r="M11" s="37">
        <v>448719.57374417002</v>
      </c>
    </row>
    <row r="12" spans="1:13" x14ac:dyDescent="0.2">
      <c r="A12" t="s">
        <v>1</v>
      </c>
      <c r="B12" s="37">
        <v>61663.959099599997</v>
      </c>
      <c r="C12" s="37">
        <v>62588.783000000003</v>
      </c>
      <c r="D12" s="37">
        <v>64322.095999999998</v>
      </c>
      <c r="E12" s="37">
        <v>66681.504674779993</v>
      </c>
      <c r="F12" s="37">
        <v>69978.989597719992</v>
      </c>
      <c r="G12" s="37">
        <v>72470.072</v>
      </c>
      <c r="H12" s="37">
        <v>72781.427791879993</v>
      </c>
      <c r="I12" s="37">
        <v>74820.933358879993</v>
      </c>
      <c r="J12" s="37">
        <v>75844.867075969989</v>
      </c>
      <c r="K12" s="37">
        <v>76422.828999999998</v>
      </c>
      <c r="L12" s="37">
        <v>77962.607307239989</v>
      </c>
      <c r="M12" s="37">
        <v>78740.71071100999</v>
      </c>
    </row>
    <row r="13" spans="1:13" x14ac:dyDescent="0.2">
      <c r="A13" t="s">
        <v>2</v>
      </c>
      <c r="B13" s="37">
        <v>29610.058688990001</v>
      </c>
      <c r="C13" s="37">
        <v>26019.603999999999</v>
      </c>
      <c r="D13" s="37">
        <v>23587.281999999999</v>
      </c>
      <c r="E13" s="37">
        <v>23849.405953549998</v>
      </c>
      <c r="F13" s="37">
        <v>23758.728490939997</v>
      </c>
      <c r="G13" s="37">
        <v>23603.023000000001</v>
      </c>
      <c r="H13" s="37">
        <v>21484.26809514</v>
      </c>
      <c r="I13" s="37">
        <v>20890.811517919999</v>
      </c>
      <c r="J13" s="37">
        <v>20309.10162175</v>
      </c>
      <c r="K13" s="37">
        <v>17127.973000000002</v>
      </c>
      <c r="L13" s="37">
        <v>14880.96658077</v>
      </c>
      <c r="M13" s="37">
        <v>11772.929644549999</v>
      </c>
    </row>
    <row r="14" spans="1:13" x14ac:dyDescent="0.2">
      <c r="A14" t="s">
        <v>14</v>
      </c>
      <c r="B14" s="34">
        <v>19814.848000000002</v>
      </c>
      <c r="C14" s="34">
        <v>19967.067999999999</v>
      </c>
      <c r="D14" s="34">
        <v>19033.041000000001</v>
      </c>
      <c r="E14" s="34">
        <f>19172.25334</f>
        <v>19172.253339999999</v>
      </c>
      <c r="F14" s="34">
        <v>19219.511999999999</v>
      </c>
      <c r="G14" s="34">
        <v>19398.789000000001</v>
      </c>
      <c r="H14" s="34">
        <v>19340.700546970173</v>
      </c>
      <c r="I14" s="34">
        <v>19475.4693202284</v>
      </c>
      <c r="J14" s="34">
        <v>19303.444015779001</v>
      </c>
      <c r="K14" s="34">
        <v>19105.324329999999</v>
      </c>
      <c r="L14" s="34">
        <f>19173.615</f>
        <v>19173.615000000002</v>
      </c>
      <c r="M14" s="34">
        <v>25458.119912478756</v>
      </c>
    </row>
    <row r="15" spans="1:13" x14ac:dyDescent="0.2">
      <c r="A15" t="s">
        <v>3</v>
      </c>
      <c r="B15" s="34">
        <v>2043.1690000000001</v>
      </c>
      <c r="C15" s="34">
        <v>2038.7929999999999</v>
      </c>
      <c r="D15" s="34">
        <v>2085.654</v>
      </c>
      <c r="E15" s="34">
        <v>2066.42002</v>
      </c>
      <c r="F15" s="34">
        <v>2125.2570000000001</v>
      </c>
      <c r="G15" s="34">
        <v>2125.8090000000002</v>
      </c>
      <c r="H15" s="34">
        <v>2172.36261006</v>
      </c>
      <c r="I15" s="34">
        <v>2388.2808618200002</v>
      </c>
      <c r="J15" s="34">
        <v>2389.97606417</v>
      </c>
      <c r="K15" s="34">
        <v>2519.73065</v>
      </c>
      <c r="L15" s="34">
        <v>2483.5819999999999</v>
      </c>
      <c r="M15" s="34">
        <v>2410.7800000000002</v>
      </c>
    </row>
    <row r="16" spans="1:13" x14ac:dyDescent="0.2">
      <c r="A16" t="s">
        <v>4</v>
      </c>
      <c r="B16" s="37">
        <v>66901.904586716599</v>
      </c>
      <c r="C16" s="37">
        <v>78517.802000000025</v>
      </c>
      <c r="D16" s="37">
        <v>68586.078000000009</v>
      </c>
      <c r="E16" s="37">
        <v>69882.880060519819</v>
      </c>
      <c r="F16" s="37">
        <v>70857.725700330077</v>
      </c>
      <c r="G16" s="37">
        <v>71391.942999999999</v>
      </c>
      <c r="H16" s="37">
        <v>72482.992836580015</v>
      </c>
      <c r="I16" s="37">
        <v>72241.472903720001</v>
      </c>
      <c r="J16" s="37">
        <v>72171.86189521999</v>
      </c>
      <c r="K16" s="37">
        <v>72411.698999999993</v>
      </c>
      <c r="L16" s="37">
        <v>71620.559391999996</v>
      </c>
      <c r="M16" s="37">
        <v>72235.284677660005</v>
      </c>
    </row>
    <row r="17" spans="1:13" x14ac:dyDescent="0.2">
      <c r="B17" s="34"/>
      <c r="C17" s="34"/>
      <c r="D17" s="34"/>
      <c r="E17" s="34"/>
      <c r="F17" s="34"/>
      <c r="G17" s="34"/>
      <c r="H17" s="34"/>
      <c r="I17" s="34"/>
      <c r="J17" s="34"/>
      <c r="K17" s="34"/>
      <c r="L17" s="34"/>
      <c r="M17" s="34"/>
    </row>
    <row r="18" spans="1:13" ht="13.5" thickBot="1" x14ac:dyDescent="0.25">
      <c r="A18" s="2" t="s">
        <v>11</v>
      </c>
      <c r="B18" s="35">
        <f t="shared" ref="B18:J18" si="1">B19+B20+B21+B22</f>
        <v>233298.66852086264</v>
      </c>
      <c r="C18" s="35">
        <f t="shared" si="1"/>
        <v>230350.86252875379</v>
      </c>
      <c r="D18" s="35">
        <f t="shared" si="1"/>
        <v>228885.29050027428</v>
      </c>
      <c r="E18" s="35">
        <f t="shared" si="1"/>
        <v>218677.2767578545</v>
      </c>
      <c r="F18" s="35">
        <f t="shared" si="1"/>
        <v>232736.42930659096</v>
      </c>
      <c r="G18" s="35">
        <f t="shared" si="1"/>
        <v>231109.83711749999</v>
      </c>
      <c r="H18" s="35">
        <f t="shared" si="1"/>
        <v>226919.55352119479</v>
      </c>
      <c r="I18" s="35">
        <f t="shared" si="1"/>
        <v>219562.33056213279</v>
      </c>
      <c r="J18" s="35">
        <f t="shared" si="1"/>
        <v>216128.4413199444</v>
      </c>
      <c r="K18" s="35">
        <f>K19+K20+K21+K22</f>
        <v>217223.77079499999</v>
      </c>
      <c r="L18" s="35">
        <f>L19+L20+L21+L22</f>
        <v>209496.89961977795</v>
      </c>
      <c r="M18" s="35">
        <f>M19+M20+M21+M22</f>
        <v>203943.49748253866</v>
      </c>
    </row>
    <row r="19" spans="1:13" x14ac:dyDescent="0.2">
      <c r="A19" t="s">
        <v>5</v>
      </c>
      <c r="B19" s="37">
        <v>178835.23847936481</v>
      </c>
      <c r="C19" s="37">
        <v>177162.91034407148</v>
      </c>
      <c r="D19" s="37">
        <v>176587.06242150406</v>
      </c>
      <c r="E19" s="37">
        <v>166314.98764222636</v>
      </c>
      <c r="F19" s="37">
        <v>177248.80875071138</v>
      </c>
      <c r="G19" s="37">
        <v>178382.538455</v>
      </c>
      <c r="H19" s="37">
        <v>175445.69527896837</v>
      </c>
      <c r="I19" s="37">
        <v>170452.20759829099</v>
      </c>
      <c r="J19" s="37">
        <v>168306.0366578337</v>
      </c>
      <c r="K19" s="37">
        <v>169098.1700635</v>
      </c>
      <c r="L19" s="37">
        <v>162942.2187720346</v>
      </c>
      <c r="M19" s="37">
        <v>160369.28286426017</v>
      </c>
    </row>
    <row r="20" spans="1:13" x14ac:dyDescent="0.2">
      <c r="A20" t="s">
        <v>6</v>
      </c>
      <c r="B20" s="37">
        <v>30590.638081049034</v>
      </c>
      <c r="C20" s="37">
        <v>29618.165897321702</v>
      </c>
      <c r="D20" s="37">
        <v>28743.767512519509</v>
      </c>
      <c r="E20" s="37">
        <v>28950.207038972898</v>
      </c>
      <c r="F20" s="37">
        <v>30408.100359923639</v>
      </c>
      <c r="G20" s="37">
        <v>29968.935095000001</v>
      </c>
      <c r="H20" s="37">
        <v>29486.02155536825</v>
      </c>
      <c r="I20" s="37">
        <v>27697.179093358081</v>
      </c>
      <c r="J20" s="37">
        <v>26851.9417110713</v>
      </c>
      <c r="K20" s="37">
        <v>26930.564973500001</v>
      </c>
      <c r="L20" s="37">
        <v>25900.343486489583</v>
      </c>
      <c r="M20" s="37">
        <v>25456.113289508266</v>
      </c>
    </row>
    <row r="21" spans="1:13" x14ac:dyDescent="0.2">
      <c r="A21" t="s">
        <v>7</v>
      </c>
      <c r="B21" s="34">
        <v>9456.4054416179515</v>
      </c>
      <c r="C21" s="34">
        <v>9336.1664184378369</v>
      </c>
      <c r="D21" s="34">
        <v>9314.8599724287815</v>
      </c>
      <c r="E21" s="34">
        <v>9405.4199998802451</v>
      </c>
      <c r="F21" s="34">
        <v>9994.1550269953859</v>
      </c>
      <c r="G21" s="34">
        <v>9916.1785524999996</v>
      </c>
      <c r="H21" s="34">
        <v>9640.1913336771286</v>
      </c>
      <c r="I21" s="34">
        <v>9324.5792899413373</v>
      </c>
      <c r="J21" s="34">
        <v>9067.8921886597109</v>
      </c>
      <c r="K21" s="34">
        <v>9058.9955530000007</v>
      </c>
      <c r="L21" s="34">
        <v>8665.1524664449789</v>
      </c>
      <c r="M21" s="34">
        <v>8415.1200968936628</v>
      </c>
    </row>
    <row r="22" spans="1:13" x14ac:dyDescent="0.2">
      <c r="A22" t="s">
        <v>8</v>
      </c>
      <c r="B22" s="34">
        <v>14416.386518830885</v>
      </c>
      <c r="C22" s="34">
        <v>14233.619868922757</v>
      </c>
      <c r="D22" s="34">
        <v>14239.600593821928</v>
      </c>
      <c r="E22" s="34">
        <v>14006.662076774999</v>
      </c>
      <c r="F22" s="34">
        <v>15085.36516896055</v>
      </c>
      <c r="G22" s="34">
        <v>12842.185014999999</v>
      </c>
      <c r="H22" s="34">
        <v>12347.64535318104</v>
      </c>
      <c r="I22" s="34">
        <v>12088.364580542371</v>
      </c>
      <c r="J22" s="34">
        <v>11902.570762379672</v>
      </c>
      <c r="K22" s="34">
        <v>12136.040204999999</v>
      </c>
      <c r="L22" s="34">
        <v>11989.184894808808</v>
      </c>
      <c r="M22" s="34">
        <v>9702.9812318765744</v>
      </c>
    </row>
    <row r="23" spans="1:13" ht="13.5" thickBot="1" x14ac:dyDescent="0.25">
      <c r="A23" s="6"/>
      <c r="B23" s="36"/>
      <c r="C23" s="36"/>
      <c r="D23" s="36"/>
      <c r="E23" s="36"/>
      <c r="F23" s="36"/>
      <c r="G23" s="36"/>
      <c r="H23" s="36"/>
      <c r="I23" s="36"/>
      <c r="J23" s="36"/>
      <c r="K23" s="36"/>
      <c r="L23" s="36"/>
      <c r="M23" s="36"/>
    </row>
    <row r="24" spans="1:13" x14ac:dyDescent="0.2">
      <c r="A24" s="1" t="s">
        <v>9</v>
      </c>
      <c r="B24" s="32">
        <f t="shared" ref="B24:G24" si="2">+B9+B18</f>
        <v>941612.16535204626</v>
      </c>
      <c r="C24" s="32">
        <f t="shared" si="2"/>
        <v>944925.82152875385</v>
      </c>
      <c r="D24" s="32">
        <f t="shared" si="2"/>
        <v>962950.65050027426</v>
      </c>
      <c r="E24" s="32">
        <f t="shared" si="2"/>
        <v>963131.7075537343</v>
      </c>
      <c r="F24" s="32">
        <f t="shared" si="2"/>
        <v>957684.693120301</v>
      </c>
      <c r="G24" s="32">
        <f t="shared" si="2"/>
        <v>967524.64611750003</v>
      </c>
      <c r="H24" s="32">
        <f t="shared" ref="H24:M24" si="3">+H9+H18</f>
        <v>965906.98619577498</v>
      </c>
      <c r="I24" s="32">
        <f t="shared" si="3"/>
        <v>965106.29713338113</v>
      </c>
      <c r="J24" s="32">
        <f t="shared" si="3"/>
        <v>973494.69575866335</v>
      </c>
      <c r="K24" s="32">
        <f t="shared" si="3"/>
        <v>981437.92477500008</v>
      </c>
      <c r="L24" s="32">
        <f t="shared" si="3"/>
        <v>983506.42772093788</v>
      </c>
      <c r="M24" s="32">
        <f t="shared" si="3"/>
        <v>1003122.4621405373</v>
      </c>
    </row>
    <row r="25" spans="1:13" x14ac:dyDescent="0.2">
      <c r="A25" s="20"/>
      <c r="B25" s="20"/>
      <c r="C25" s="20"/>
      <c r="D25" s="20"/>
      <c r="E25" s="20"/>
      <c r="F25" s="20"/>
      <c r="G25" s="20"/>
      <c r="H25" s="20"/>
      <c r="I25" s="20"/>
      <c r="J25" s="20"/>
      <c r="K25" s="20"/>
      <c r="L25" s="20"/>
      <c r="M25" s="20"/>
    </row>
    <row r="26" spans="1:13" x14ac:dyDescent="0.2">
      <c r="A26" s="7" t="s">
        <v>15</v>
      </c>
    </row>
    <row r="27" spans="1:13" x14ac:dyDescent="0.2">
      <c r="A27" s="7"/>
    </row>
  </sheetData>
  <phoneticPr fontId="0" type="noConversion"/>
  <pageMargins left="0.78740157499999996" right="0.78740157499999996" top="0.984251969" bottom="0.984251969" header="0.49212598499999999" footer="0.49212598499999999"/>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9"/>
  <sheetViews>
    <sheetView workbookViewId="0">
      <pane xSplit="1" topLeftCell="B1" activePane="topRight" state="frozen"/>
      <selection activeCell="E1" sqref="E1:G2"/>
      <selection pane="topRight" activeCell="D18" sqref="D18"/>
    </sheetView>
  </sheetViews>
  <sheetFormatPr defaultRowHeight="12.75" x14ac:dyDescent="0.2"/>
  <cols>
    <col min="1" max="1" width="41.85546875" customWidth="1"/>
    <col min="2" max="13" width="16.85546875" customWidth="1"/>
  </cols>
  <sheetData>
    <row r="1" spans="1:13" ht="26.25" x14ac:dyDescent="0.4">
      <c r="A1" s="13" t="s">
        <v>20</v>
      </c>
      <c r="B1" s="14" t="s">
        <v>18</v>
      </c>
      <c r="C1" s="15"/>
      <c r="D1" s="16"/>
    </row>
    <row r="2" spans="1:13" x14ac:dyDescent="0.2">
      <c r="A2" s="14"/>
      <c r="B2" s="15"/>
      <c r="C2" s="15"/>
      <c r="D2" s="16"/>
    </row>
    <row r="3" spans="1:13" x14ac:dyDescent="0.2">
      <c r="A3" s="17" t="s">
        <v>21</v>
      </c>
    </row>
    <row r="4" spans="1:13" x14ac:dyDescent="0.2">
      <c r="A4" s="17" t="s">
        <v>22</v>
      </c>
    </row>
    <row r="6" spans="1:13" x14ac:dyDescent="0.2">
      <c r="A6" s="1" t="s">
        <v>16</v>
      </c>
    </row>
    <row r="7" spans="1:13" x14ac:dyDescent="0.2">
      <c r="A7" s="1" t="s">
        <v>23</v>
      </c>
    </row>
    <row r="8" spans="1:13" ht="13.5" thickBot="1" x14ac:dyDescent="0.25">
      <c r="B8" s="21">
        <v>38353</v>
      </c>
      <c r="C8" s="21">
        <v>38384</v>
      </c>
      <c r="D8" s="21">
        <v>38412</v>
      </c>
      <c r="E8" s="21">
        <v>38443</v>
      </c>
      <c r="F8" s="21">
        <v>38473</v>
      </c>
      <c r="G8" s="21">
        <v>38504</v>
      </c>
      <c r="H8" s="21">
        <v>38534</v>
      </c>
      <c r="I8" s="21">
        <v>38565</v>
      </c>
      <c r="J8" s="21">
        <v>38596</v>
      </c>
      <c r="K8" s="21">
        <v>38626</v>
      </c>
      <c r="L8" s="21">
        <v>38657</v>
      </c>
      <c r="M8" s="21">
        <v>38687</v>
      </c>
    </row>
    <row r="9" spans="1:13" ht="13.5" thickBot="1" x14ac:dyDescent="0.25">
      <c r="A9" s="19" t="s">
        <v>10</v>
      </c>
      <c r="B9" s="23">
        <f t="shared" ref="B9:H9" si="0">SUM(B10:B18)</f>
        <v>815449.06609543785</v>
      </c>
      <c r="C9" s="23">
        <f t="shared" si="0"/>
        <v>835428.51027547242</v>
      </c>
      <c r="D9" s="23">
        <f t="shared" si="0"/>
        <v>862116.11051538005</v>
      </c>
      <c r="E9" s="23">
        <f t="shared" si="0"/>
        <v>863748.88230143033</v>
      </c>
      <c r="F9" s="23">
        <f t="shared" si="0"/>
        <v>878750.08040952228</v>
      </c>
      <c r="G9" s="23">
        <f t="shared" si="0"/>
        <v>896348.34656308219</v>
      </c>
      <c r="H9" s="23">
        <f t="shared" si="0"/>
        <v>906625.40980452998</v>
      </c>
      <c r="I9" s="23">
        <f>SUM(I10:I18)</f>
        <v>910879.87428418861</v>
      </c>
      <c r="J9" s="23">
        <f>SUM(J10:J18)</f>
        <v>924596.53371248988</v>
      </c>
      <c r="K9" s="23">
        <f>SUM(K10:K18)</f>
        <v>930355.70776602009</v>
      </c>
      <c r="L9" s="23">
        <f>SUM(L10:L18)</f>
        <v>956421.22976907948</v>
      </c>
      <c r="M9" s="23">
        <f>SUM(M10:M18)</f>
        <v>976439.07142527797</v>
      </c>
    </row>
    <row r="10" spans="1:13" x14ac:dyDescent="0.2">
      <c r="A10" t="s">
        <v>0</v>
      </c>
      <c r="B10" s="37">
        <v>151278.63825675999</v>
      </c>
      <c r="C10" s="37">
        <v>169563.79054660004</v>
      </c>
      <c r="D10" s="37">
        <v>183444.67375066</v>
      </c>
      <c r="E10" s="37">
        <v>172039.52847235999</v>
      </c>
      <c r="F10" s="37">
        <v>190552.99561419</v>
      </c>
      <c r="G10" s="37">
        <v>201758.74333457003</v>
      </c>
      <c r="H10" s="37">
        <v>198276.37657081999</v>
      </c>
      <c r="I10" s="37">
        <v>212425.67776530999</v>
      </c>
      <c r="J10" s="37">
        <f>232414205.31045/1000</f>
        <v>232414.20531044999</v>
      </c>
      <c r="K10" s="37">
        <v>220973.28764885003</v>
      </c>
      <c r="L10" s="40">
        <v>248998.27837109001</v>
      </c>
      <c r="M10" s="40">
        <v>263451.33569605998</v>
      </c>
    </row>
    <row r="11" spans="1:13" x14ac:dyDescent="0.2">
      <c r="A11" t="s">
        <v>19</v>
      </c>
      <c r="B11" s="37">
        <v>477176.71766213997</v>
      </c>
      <c r="C11" s="37">
        <v>478954.56386968994</v>
      </c>
      <c r="D11" s="37">
        <v>489467.62322482001</v>
      </c>
      <c r="E11" s="37">
        <v>502752.06306669</v>
      </c>
      <c r="F11" s="37">
        <v>499447.91287011001</v>
      </c>
      <c r="G11" s="37">
        <v>503367.92044303997</v>
      </c>
      <c r="H11" s="37">
        <v>516363.77785774996</v>
      </c>
      <c r="I11" s="37">
        <v>505969.78983753995</v>
      </c>
      <c r="J11" s="37">
        <v>498798.10655968997</v>
      </c>
      <c r="K11" s="37">
        <v>516796.59663995006</v>
      </c>
      <c r="L11" s="5">
        <v>505983.79230099003</v>
      </c>
      <c r="M11" s="5">
        <v>497907.64508997998</v>
      </c>
    </row>
    <row r="12" spans="1:13" x14ac:dyDescent="0.2">
      <c r="A12" t="s">
        <v>1</v>
      </c>
      <c r="B12" s="37">
        <v>78061.289407029995</v>
      </c>
      <c r="C12" s="37">
        <v>79009.993955929996</v>
      </c>
      <c r="D12" s="37">
        <v>80281.884324350001</v>
      </c>
      <c r="E12" s="37">
        <v>80962.700407739991</v>
      </c>
      <c r="F12" s="37">
        <v>81536.173466180015</v>
      </c>
      <c r="G12" s="37">
        <v>80610.084025700009</v>
      </c>
      <c r="H12" s="37">
        <v>75478.382568730012</v>
      </c>
      <c r="I12" s="37">
        <v>75405.367605859996</v>
      </c>
      <c r="J12" s="37">
        <v>75198.504361729996</v>
      </c>
      <c r="K12" s="37">
        <v>75261.830171349997</v>
      </c>
      <c r="L12" s="5">
        <v>76183.128583920014</v>
      </c>
      <c r="M12" s="5">
        <v>66993.84288158</v>
      </c>
    </row>
    <row r="13" spans="1:13" x14ac:dyDescent="0.2">
      <c r="A13" t="s">
        <v>2</v>
      </c>
      <c r="B13" s="37">
        <v>7936.3479370200002</v>
      </c>
      <c r="C13" s="37">
        <v>6177.2848800300007</v>
      </c>
      <c r="D13" s="37">
        <v>6179.1328357700004</v>
      </c>
      <c r="E13" s="37">
        <v>5903.63508473</v>
      </c>
      <c r="F13" s="37">
        <v>5671.5687540599993</v>
      </c>
      <c r="G13" s="37">
        <v>5606.9699253600011</v>
      </c>
      <c r="H13" s="37">
        <v>5676.0328325500004</v>
      </c>
      <c r="I13" s="37">
        <v>5652.8816832499997</v>
      </c>
      <c r="J13" s="37">
        <v>5807.8403043999997</v>
      </c>
      <c r="K13" s="37">
        <v>4912.047300950001</v>
      </c>
      <c r="L13" s="5">
        <v>4865.3400827300002</v>
      </c>
      <c r="M13" s="5">
        <v>5206.2801847500004</v>
      </c>
    </row>
    <row r="14" spans="1:13" x14ac:dyDescent="0.2">
      <c r="A14" t="s">
        <v>24</v>
      </c>
      <c r="B14" s="37">
        <v>26826.003035999998</v>
      </c>
      <c r="C14" s="37">
        <v>26715.186072330001</v>
      </c>
      <c r="D14" s="37">
        <v>26987.427471979998</v>
      </c>
      <c r="E14" s="37">
        <v>27476.598926870003</v>
      </c>
      <c r="F14" s="37">
        <v>27352.882172720001</v>
      </c>
      <c r="G14" s="37">
        <v>30693.121186920001</v>
      </c>
      <c r="H14" s="37">
        <v>37333.044055400002</v>
      </c>
      <c r="I14" s="37">
        <v>37906.520516830002</v>
      </c>
      <c r="J14" s="37">
        <v>39579.543229250005</v>
      </c>
      <c r="K14" s="37">
        <v>42426.400752119996</v>
      </c>
      <c r="L14" s="5">
        <v>50600.473497120001</v>
      </c>
      <c r="M14" s="5">
        <v>73824.490971790015</v>
      </c>
    </row>
    <row r="15" spans="1:13" x14ac:dyDescent="0.2">
      <c r="A15" t="s">
        <v>25</v>
      </c>
      <c r="B15" s="37">
        <v>3382.12829728</v>
      </c>
      <c r="C15" s="37">
        <v>4312.6308902399996</v>
      </c>
      <c r="D15" s="37">
        <v>4798.4090619000008</v>
      </c>
      <c r="E15" s="37">
        <v>5212.5511617499997</v>
      </c>
      <c r="F15" s="37">
        <v>5543.2512122100015</v>
      </c>
      <c r="G15" s="37">
        <v>6123.7735814200005</v>
      </c>
      <c r="H15" s="37">
        <v>6823.0821065599994</v>
      </c>
      <c r="I15" s="37">
        <v>7360.5527218200004</v>
      </c>
      <c r="J15" s="37">
        <v>7942.0311771500001</v>
      </c>
      <c r="K15" s="37">
        <v>8631.7668243400003</v>
      </c>
      <c r="L15" s="5">
        <v>9172.9102794800001</v>
      </c>
      <c r="M15" s="5">
        <v>9615.4456862900006</v>
      </c>
    </row>
    <row r="16" spans="1:13" x14ac:dyDescent="0.2">
      <c r="A16" t="s">
        <v>14</v>
      </c>
      <c r="B16" s="34">
        <v>25369.385910000001</v>
      </c>
      <c r="C16" s="34">
        <f>25390.876</f>
        <v>25390.876</v>
      </c>
      <c r="D16" s="34">
        <v>25278.314999999999</v>
      </c>
      <c r="E16" s="34">
        <f>24905.28551</f>
        <v>24905.285510000002</v>
      </c>
      <c r="F16" s="34">
        <v>25026.372159999999</v>
      </c>
      <c r="G16" s="34">
        <v>24871.010999999999</v>
      </c>
      <c r="H16" s="34">
        <v>23551.157999999999</v>
      </c>
      <c r="I16" s="34">
        <v>23664.576819999998</v>
      </c>
      <c r="J16" s="34">
        <v>23535.834999999999</v>
      </c>
      <c r="K16" s="34">
        <v>20307.225460000001</v>
      </c>
      <c r="L16" s="34">
        <v>19797.191676089988</v>
      </c>
      <c r="M16" s="34">
        <f>18084301.4785727/1000</f>
        <v>18084.301478572699</v>
      </c>
    </row>
    <row r="17" spans="1:13" x14ac:dyDescent="0.2">
      <c r="A17" t="s">
        <v>3</v>
      </c>
      <c r="B17" s="34">
        <v>2581.8881099999999</v>
      </c>
      <c r="C17" s="34">
        <v>2650.2460000000001</v>
      </c>
      <c r="D17" s="34">
        <v>2647.0610000000001</v>
      </c>
      <c r="E17" s="34">
        <v>2766.4458100000002</v>
      </c>
      <c r="F17" s="34">
        <v>2880.723</v>
      </c>
      <c r="G17" s="34">
        <v>3042.9949999999999</v>
      </c>
      <c r="H17" s="34">
        <v>3044.6350000000002</v>
      </c>
      <c r="I17" s="34">
        <v>3060.1876699999998</v>
      </c>
      <c r="J17" s="34">
        <v>3220.5839999999998</v>
      </c>
      <c r="K17" s="34">
        <v>3297.3883999999998</v>
      </c>
      <c r="L17" s="34">
        <v>3437.09053494</v>
      </c>
      <c r="M17" s="34">
        <f>3447.5</f>
        <v>3447.5</v>
      </c>
    </row>
    <row r="18" spans="1:13" x14ac:dyDescent="0.2">
      <c r="A18" t="s">
        <v>4</v>
      </c>
      <c r="B18" s="37">
        <v>42836.667479207965</v>
      </c>
      <c r="C18" s="37">
        <v>42653.938060652421</v>
      </c>
      <c r="D18" s="37">
        <v>43031.583845899993</v>
      </c>
      <c r="E18" s="37">
        <v>41730.073861290475</v>
      </c>
      <c r="F18" s="37">
        <v>40738.201160052173</v>
      </c>
      <c r="G18" s="37">
        <v>40273.728066072268</v>
      </c>
      <c r="H18" s="37">
        <v>40078.920812720004</v>
      </c>
      <c r="I18" s="37">
        <v>39434.319663578746</v>
      </c>
      <c r="J18" s="37">
        <f>38099883.76982/1000</f>
        <v>38099.88376982</v>
      </c>
      <c r="K18" s="37">
        <v>37749.164568459986</v>
      </c>
      <c r="L18" s="5">
        <v>37383.024442719339</v>
      </c>
      <c r="M18" s="5">
        <v>37908.229436255278</v>
      </c>
    </row>
    <row r="19" spans="1:13" x14ac:dyDescent="0.2">
      <c r="B19" s="34"/>
      <c r="C19" s="34"/>
      <c r="D19" s="34"/>
      <c r="E19" s="34"/>
      <c r="F19" s="34"/>
      <c r="G19" s="34"/>
      <c r="H19" s="34"/>
      <c r="I19" s="34"/>
      <c r="J19" s="34"/>
      <c r="K19" s="34"/>
      <c r="L19" s="34"/>
      <c r="M19" s="34"/>
    </row>
    <row r="20" spans="1:13" ht="13.5" thickBot="1" x14ac:dyDescent="0.25">
      <c r="A20" s="2" t="s">
        <v>11</v>
      </c>
      <c r="B20" s="35">
        <f t="shared" ref="B20:H20" si="1">B21+B22+B23+B24</f>
        <v>199368.48685063585</v>
      </c>
      <c r="C20" s="35">
        <f t="shared" si="1"/>
        <v>202459.44608158671</v>
      </c>
      <c r="D20" s="35">
        <f t="shared" si="1"/>
        <v>209365.18712328558</v>
      </c>
      <c r="E20" s="35">
        <f t="shared" si="1"/>
        <v>196265.20081599616</v>
      </c>
      <c r="F20" s="35">
        <f t="shared" si="1"/>
        <v>185752.14096689963</v>
      </c>
      <c r="G20" s="35">
        <f t="shared" si="1"/>
        <v>181986.50074651145</v>
      </c>
      <c r="H20" s="35">
        <f t="shared" si="1"/>
        <v>177971.76407392128</v>
      </c>
      <c r="I20" s="35">
        <f>I21+I22+I23+I24</f>
        <v>177579.80422074077</v>
      </c>
      <c r="J20" s="35">
        <f>J21+J22+J23+J24</f>
        <v>171681.96738543845</v>
      </c>
      <c r="K20" s="35">
        <f>K21+K22+K23+K24</f>
        <v>169921.65559379218</v>
      </c>
      <c r="L20" s="35">
        <f>L21+L22+L23+L24</f>
        <v>166942.92690357933</v>
      </c>
      <c r="M20" s="35">
        <f>M21+M22+M23+M24</f>
        <v>177473.9267939</v>
      </c>
    </row>
    <row r="21" spans="1:13" x14ac:dyDescent="0.2">
      <c r="A21" t="s">
        <v>5</v>
      </c>
      <c r="B21" s="37">
        <v>157407.97294040371</v>
      </c>
      <c r="C21" s="37">
        <v>160960.61326160491</v>
      </c>
      <c r="D21" s="37">
        <v>167327.16431598621</v>
      </c>
      <c r="E21" s="37">
        <v>156421.56155272402</v>
      </c>
      <c r="F21" s="37">
        <v>148544.50952212303</v>
      </c>
      <c r="G21" s="37">
        <v>147372.9944058063</v>
      </c>
      <c r="H21" s="37">
        <v>142731.3576582605</v>
      </c>
      <c r="I21" s="37">
        <v>142485.46323252987</v>
      </c>
      <c r="J21" s="37">
        <v>139016.03189054891</v>
      </c>
      <c r="K21" s="37">
        <v>136989.65690736388</v>
      </c>
      <c r="L21" s="37">
        <v>134926.07961476341</v>
      </c>
      <c r="M21" s="37">
        <v>144155.8552701</v>
      </c>
    </row>
    <row r="22" spans="1:13" x14ac:dyDescent="0.2">
      <c r="A22" t="s">
        <v>6</v>
      </c>
      <c r="B22" s="37">
        <v>24307.342928812257</v>
      </c>
      <c r="C22" s="37">
        <v>23997.17349140075</v>
      </c>
      <c r="D22" s="37">
        <v>24237.906174987311</v>
      </c>
      <c r="E22" s="37">
        <v>22926.880000000001</v>
      </c>
      <c r="F22" s="37">
        <v>21431.347156404663</v>
      </c>
      <c r="G22" s="37">
        <v>21127.40905303727</v>
      </c>
      <c r="H22" s="37">
        <v>21554.243469640474</v>
      </c>
      <c r="I22" s="37">
        <v>21479.59574440946</v>
      </c>
      <c r="J22" s="37">
        <v>19988.907259861826</v>
      </c>
      <c r="K22" s="37">
        <v>20232.072275909308</v>
      </c>
      <c r="L22" s="37">
        <v>19675.403975532667</v>
      </c>
      <c r="M22" s="37">
        <v>22075.8228437</v>
      </c>
    </row>
    <row r="23" spans="1:13" x14ac:dyDescent="0.2">
      <c r="A23" t="s">
        <v>7</v>
      </c>
      <c r="B23" s="34">
        <v>8309.0129451633838</v>
      </c>
      <c r="C23" s="34">
        <v>8192.6656040545513</v>
      </c>
      <c r="D23" s="34">
        <v>8397.5033435629884</v>
      </c>
      <c r="E23" s="34">
        <v>7968.4412114109664</v>
      </c>
      <c r="F23" s="34">
        <v>7558.9336394375441</v>
      </c>
      <c r="G23" s="34">
        <v>7380.2481703240164</v>
      </c>
      <c r="H23" s="34">
        <v>7501.0955760694796</v>
      </c>
      <c r="I23" s="34">
        <v>7411.1208938970003</v>
      </c>
      <c r="J23" s="34">
        <v>6955.0086614623215</v>
      </c>
      <c r="K23" s="34">
        <v>6935.3058562678543</v>
      </c>
      <c r="L23" s="34">
        <v>6784.84897864294</v>
      </c>
      <c r="M23" s="34">
        <v>7190.3799451000004</v>
      </c>
    </row>
    <row r="24" spans="1:13" x14ac:dyDescent="0.2">
      <c r="A24" t="s">
        <v>8</v>
      </c>
      <c r="B24" s="34">
        <v>9344.1580362565055</v>
      </c>
      <c r="C24" s="34">
        <v>9308.9937245264991</v>
      </c>
      <c r="D24" s="34">
        <v>9402.6132887490367</v>
      </c>
      <c r="E24" s="34">
        <v>8948.3180518611771</v>
      </c>
      <c r="F24" s="34">
        <v>8217.3506489343963</v>
      </c>
      <c r="G24" s="34">
        <v>6105.8491173438706</v>
      </c>
      <c r="H24" s="34">
        <v>6185.0673699508061</v>
      </c>
      <c r="I24" s="34">
        <v>6203.6243499044394</v>
      </c>
      <c r="J24" s="34">
        <v>5722.0195735653906</v>
      </c>
      <c r="K24" s="34">
        <v>5764.6205542511188</v>
      </c>
      <c r="L24" s="34">
        <v>5556.5943346403492</v>
      </c>
      <c r="M24" s="34">
        <v>4051.868735</v>
      </c>
    </row>
    <row r="25" spans="1:13" ht="13.5" thickBot="1" x14ac:dyDescent="0.25">
      <c r="A25" s="6"/>
      <c r="B25" s="36"/>
      <c r="C25" s="36"/>
      <c r="D25" s="36"/>
      <c r="E25" s="36"/>
      <c r="F25" s="36"/>
      <c r="G25" s="36"/>
      <c r="H25" s="36"/>
      <c r="I25" s="36"/>
      <c r="J25" s="36"/>
      <c r="K25" s="36"/>
      <c r="L25" s="36"/>
      <c r="M25" s="36"/>
    </row>
    <row r="26" spans="1:13" x14ac:dyDescent="0.2">
      <c r="A26" s="1" t="s">
        <v>9</v>
      </c>
      <c r="B26" s="32">
        <f t="shared" ref="B26:G26" si="2">+B9+B20</f>
        <v>1014817.5529460737</v>
      </c>
      <c r="C26" s="32">
        <f t="shared" si="2"/>
        <v>1037887.9563570591</v>
      </c>
      <c r="D26" s="32">
        <f t="shared" si="2"/>
        <v>1071481.2976386657</v>
      </c>
      <c r="E26" s="32">
        <f t="shared" si="2"/>
        <v>1060014.0831174264</v>
      </c>
      <c r="F26" s="32">
        <f t="shared" si="2"/>
        <v>1064502.2213764219</v>
      </c>
      <c r="G26" s="32">
        <f t="shared" si="2"/>
        <v>1078334.8473095936</v>
      </c>
      <c r="H26" s="32">
        <f t="shared" ref="H26:M26" si="3">+H9+H20</f>
        <v>1084597.1738784513</v>
      </c>
      <c r="I26" s="32">
        <f t="shared" si="3"/>
        <v>1088459.6785049294</v>
      </c>
      <c r="J26" s="32">
        <f t="shared" si="3"/>
        <v>1096278.5010979283</v>
      </c>
      <c r="K26" s="32">
        <f t="shared" si="3"/>
        <v>1100277.3633598122</v>
      </c>
      <c r="L26" s="32">
        <f t="shared" si="3"/>
        <v>1123364.1566726589</v>
      </c>
      <c r="M26" s="32">
        <f t="shared" si="3"/>
        <v>1153912.9982191781</v>
      </c>
    </row>
    <row r="27" spans="1:13" x14ac:dyDescent="0.2">
      <c r="A27" s="20"/>
      <c r="B27" s="20"/>
      <c r="C27" s="20"/>
      <c r="D27" s="20"/>
      <c r="E27" s="20"/>
      <c r="F27" s="20"/>
      <c r="G27" s="20"/>
      <c r="H27" s="20"/>
      <c r="I27" s="20"/>
      <c r="J27" s="20"/>
      <c r="K27" s="20"/>
      <c r="L27" s="20"/>
      <c r="M27" s="20"/>
    </row>
    <row r="28" spans="1:13" x14ac:dyDescent="0.2">
      <c r="A28" s="7" t="s">
        <v>15</v>
      </c>
    </row>
    <row r="29" spans="1:13" x14ac:dyDescent="0.2">
      <c r="A29" s="7"/>
    </row>
  </sheetData>
  <phoneticPr fontId="0" type="noConversion"/>
  <pageMargins left="0.78740157499999996" right="0.78740157499999996" top="0.984251969" bottom="0.984251969" header="0.49212598499999999" footer="0.49212598499999999"/>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
  <sheetViews>
    <sheetView workbookViewId="0">
      <pane xSplit="1" topLeftCell="B1" activePane="topRight" state="frozen"/>
      <selection activeCell="E1" sqref="E1:G2"/>
      <selection pane="topRight" activeCell="D18" sqref="D18"/>
    </sheetView>
  </sheetViews>
  <sheetFormatPr defaultRowHeight="12.75" x14ac:dyDescent="0.2"/>
  <cols>
    <col min="1" max="1" width="41.85546875" customWidth="1"/>
    <col min="2" max="13" width="16.85546875" customWidth="1"/>
    <col min="14" max="14" width="9.28515625" bestFit="1" customWidth="1"/>
    <col min="15" max="15" width="14" bestFit="1" customWidth="1"/>
  </cols>
  <sheetData>
    <row r="1" spans="1:15" ht="26.25" x14ac:dyDescent="0.4">
      <c r="A1" s="13" t="s">
        <v>20</v>
      </c>
      <c r="B1" s="14" t="s">
        <v>18</v>
      </c>
      <c r="C1" s="15"/>
      <c r="D1" s="16"/>
    </row>
    <row r="2" spans="1:15" x14ac:dyDescent="0.2">
      <c r="A2" s="14"/>
      <c r="B2" s="15"/>
      <c r="C2" s="15"/>
      <c r="D2" s="16"/>
    </row>
    <row r="3" spans="1:15" x14ac:dyDescent="0.2">
      <c r="A3" s="17" t="s">
        <v>21</v>
      </c>
    </row>
    <row r="4" spans="1:15" x14ac:dyDescent="0.2">
      <c r="A4" s="17" t="s">
        <v>22</v>
      </c>
    </row>
    <row r="6" spans="1:15" x14ac:dyDescent="0.2">
      <c r="A6" s="1" t="s">
        <v>16</v>
      </c>
    </row>
    <row r="7" spans="1:15" x14ac:dyDescent="0.2">
      <c r="A7" s="1" t="s">
        <v>23</v>
      </c>
    </row>
    <row r="8" spans="1:15" ht="13.5" thickBot="1" x14ac:dyDescent="0.25">
      <c r="B8" s="21">
        <v>38718</v>
      </c>
      <c r="C8" s="21">
        <v>38749</v>
      </c>
      <c r="D8" s="21">
        <v>38777</v>
      </c>
      <c r="E8" s="21">
        <v>38808</v>
      </c>
      <c r="F8" s="21">
        <v>38838</v>
      </c>
      <c r="G8" s="21">
        <v>38869</v>
      </c>
      <c r="H8" s="21">
        <v>38899</v>
      </c>
      <c r="I8" s="21">
        <v>38930</v>
      </c>
      <c r="J8" s="21">
        <v>38961</v>
      </c>
      <c r="K8" s="21">
        <v>38991</v>
      </c>
      <c r="L8" s="21">
        <v>39022</v>
      </c>
      <c r="M8" s="21">
        <v>39052</v>
      </c>
    </row>
    <row r="9" spans="1:15" ht="13.5" thickBot="1" x14ac:dyDescent="0.25">
      <c r="A9" s="19" t="s">
        <v>10</v>
      </c>
      <c r="B9" s="23">
        <f t="shared" ref="B9:G9" si="0">SUM(B10:B18)</f>
        <v>982866.38899999997</v>
      </c>
      <c r="C9" s="23">
        <f t="shared" si="0"/>
        <v>1009078.85455</v>
      </c>
      <c r="D9" s="23">
        <f t="shared" si="0"/>
        <v>1019526.72381</v>
      </c>
      <c r="E9" s="23">
        <f t="shared" si="0"/>
        <v>1002197.07189</v>
      </c>
      <c r="F9" s="23">
        <f t="shared" si="0"/>
        <v>997516.56058000005</v>
      </c>
      <c r="G9" s="23">
        <f t="shared" si="0"/>
        <v>1014742.40532</v>
      </c>
      <c r="H9" s="23">
        <f t="shared" ref="H9:M9" si="1">SUM(H10:H18)</f>
        <v>1012716.4301999999</v>
      </c>
      <c r="I9" s="23">
        <f t="shared" si="1"/>
        <v>1037378.85564</v>
      </c>
      <c r="J9" s="23">
        <f t="shared" si="1"/>
        <v>1060426.70939</v>
      </c>
      <c r="K9" s="23">
        <f t="shared" si="1"/>
        <v>1065957.2505999999</v>
      </c>
      <c r="L9" s="23">
        <f t="shared" si="1"/>
        <v>1088498.6485900003</v>
      </c>
      <c r="M9" s="23">
        <f t="shared" si="1"/>
        <v>1100959.6128000002</v>
      </c>
    </row>
    <row r="10" spans="1:15" x14ac:dyDescent="0.2">
      <c r="A10" t="s">
        <v>0</v>
      </c>
      <c r="B10" s="37">
        <v>253193.05499999999</v>
      </c>
      <c r="C10" s="37">
        <v>269680.533</v>
      </c>
      <c r="D10" s="37">
        <v>280714.94900000002</v>
      </c>
      <c r="E10" s="37">
        <v>262579.283</v>
      </c>
      <c r="F10" s="37">
        <v>279637.23</v>
      </c>
      <c r="G10" s="37">
        <v>302728.78100000002</v>
      </c>
      <c r="H10" s="37">
        <v>290264.89600000001</v>
      </c>
      <c r="I10" s="37">
        <v>307240.761</v>
      </c>
      <c r="J10" s="37">
        <v>325838.75300000003</v>
      </c>
      <c r="K10" s="37">
        <v>323311.27100000001</v>
      </c>
      <c r="L10" s="37">
        <v>342244.58299999998</v>
      </c>
      <c r="M10" s="37">
        <v>347638.75300000003</v>
      </c>
    </row>
    <row r="11" spans="1:15" x14ac:dyDescent="0.2">
      <c r="A11" t="s">
        <v>19</v>
      </c>
      <c r="B11" s="37">
        <v>478615.02299999999</v>
      </c>
      <c r="C11" s="37">
        <v>467995.27500000002</v>
      </c>
      <c r="D11" s="37">
        <v>457330.174</v>
      </c>
      <c r="E11" s="37">
        <v>453761.80800000002</v>
      </c>
      <c r="F11" s="37">
        <v>431609.67</v>
      </c>
      <c r="G11" s="37">
        <v>423680.58299999998</v>
      </c>
      <c r="H11" s="37">
        <v>429436.69900000002</v>
      </c>
      <c r="I11" s="37">
        <v>433295.837</v>
      </c>
      <c r="J11" s="37">
        <v>432052.27299999999</v>
      </c>
      <c r="K11" s="37">
        <v>430682.005</v>
      </c>
      <c r="L11" s="37">
        <v>413695.31199999998</v>
      </c>
      <c r="M11" s="37">
        <v>406858.55900000001</v>
      </c>
    </row>
    <row r="12" spans="1:15" x14ac:dyDescent="0.2">
      <c r="A12" t="s">
        <v>1</v>
      </c>
      <c r="B12" s="37">
        <v>66132.03</v>
      </c>
      <c r="C12" s="37">
        <v>65940.217999999993</v>
      </c>
      <c r="D12" s="37">
        <v>65042.131000000001</v>
      </c>
      <c r="E12" s="37">
        <v>64136.961000000003</v>
      </c>
      <c r="F12" s="37">
        <v>64805.538</v>
      </c>
      <c r="G12" s="37">
        <v>65688.235000000001</v>
      </c>
      <c r="H12" s="37">
        <v>64774.544999999998</v>
      </c>
      <c r="I12" s="37">
        <v>64991.358</v>
      </c>
      <c r="J12" s="37">
        <v>65438.296999999999</v>
      </c>
      <c r="K12" s="37">
        <v>65401.66</v>
      </c>
      <c r="L12" s="37">
        <v>67793.063999999998</v>
      </c>
      <c r="M12" s="37">
        <v>67392.960999999996</v>
      </c>
    </row>
    <row r="13" spans="1:15" x14ac:dyDescent="0.2">
      <c r="A13" t="s">
        <v>2</v>
      </c>
      <c r="B13" s="37">
        <v>4913.2389999999996</v>
      </c>
      <c r="C13" s="37">
        <v>4570.1379999999999</v>
      </c>
      <c r="D13" s="37">
        <v>3736.0569999999998</v>
      </c>
      <c r="E13" s="37">
        <v>3636.654</v>
      </c>
      <c r="F13" s="37">
        <v>4039.3249999999998</v>
      </c>
      <c r="G13" s="37">
        <v>3849.8229999999999</v>
      </c>
      <c r="H13" s="37">
        <v>3831.26</v>
      </c>
      <c r="I13" s="37">
        <v>3810.4630000000002</v>
      </c>
      <c r="J13" s="37">
        <v>1297.355</v>
      </c>
      <c r="K13" s="37">
        <v>1294.2670000000001</v>
      </c>
      <c r="L13" s="37">
        <v>1322.6759999999999</v>
      </c>
      <c r="M13" s="37">
        <v>1320.952</v>
      </c>
    </row>
    <row r="14" spans="1:15" x14ac:dyDescent="0.2">
      <c r="A14" t="s">
        <v>24</v>
      </c>
      <c r="B14" s="37">
        <v>112268.401</v>
      </c>
      <c r="C14" s="37">
        <v>131443.93400000001</v>
      </c>
      <c r="D14" s="37">
        <v>142531.29800000001</v>
      </c>
      <c r="E14" s="37">
        <v>147028.29699999999</v>
      </c>
      <c r="F14" s="37">
        <v>144793.50399999999</v>
      </c>
      <c r="G14" s="37">
        <v>145718.51300000001</v>
      </c>
      <c r="H14" s="37">
        <v>148123.019</v>
      </c>
      <c r="I14" s="37">
        <v>149657.55499999999</v>
      </c>
      <c r="J14" s="37">
        <v>153724.26500000001</v>
      </c>
      <c r="K14" s="37">
        <v>160877.584</v>
      </c>
      <c r="L14" s="37">
        <v>166053.16500000001</v>
      </c>
      <c r="M14" s="37">
        <v>170983.755</v>
      </c>
    </row>
    <row r="15" spans="1:15" x14ac:dyDescent="0.2">
      <c r="A15" t="s">
        <v>25</v>
      </c>
      <c r="B15" s="37">
        <v>9996.1849999999995</v>
      </c>
      <c r="C15" s="37">
        <v>12521.949000000001</v>
      </c>
      <c r="D15" s="37">
        <v>13068.108</v>
      </c>
      <c r="E15" s="37">
        <v>14996.754000000001</v>
      </c>
      <c r="F15" s="37">
        <v>16179.321</v>
      </c>
      <c r="G15" s="37">
        <v>17386.296999999999</v>
      </c>
      <c r="H15" s="37">
        <v>18304.315999999999</v>
      </c>
      <c r="I15" s="37">
        <v>20493.547999999999</v>
      </c>
      <c r="J15" s="37">
        <v>23546.475999999999</v>
      </c>
      <c r="K15" s="37">
        <v>26841.333999999999</v>
      </c>
      <c r="L15" s="37">
        <v>39698.771999999997</v>
      </c>
      <c r="M15" s="37">
        <v>49222.826999999997</v>
      </c>
      <c r="O15" s="37"/>
    </row>
    <row r="16" spans="1:15" x14ac:dyDescent="0.2">
      <c r="A16" t="s">
        <v>14</v>
      </c>
      <c r="B16" s="34">
        <v>17754.690999999999</v>
      </c>
      <c r="C16" s="34">
        <v>17843.098669999999</v>
      </c>
      <c r="D16" s="34">
        <v>17904.854869999999</v>
      </c>
      <c r="E16" s="34">
        <v>17936.41516</v>
      </c>
      <c r="F16" s="34">
        <v>16894.714049999999</v>
      </c>
      <c r="G16" s="34">
        <v>16713.290550000002</v>
      </c>
      <c r="H16" s="34">
        <v>18886.929090000001</v>
      </c>
      <c r="I16" s="34">
        <v>19146.417219999999</v>
      </c>
      <c r="J16" s="34">
        <v>19612.271339999999</v>
      </c>
      <c r="K16" s="34">
        <v>19218.51958</v>
      </c>
      <c r="L16" s="34">
        <v>19261.393190000003</v>
      </c>
      <c r="M16" s="34">
        <v>19094.723969999999</v>
      </c>
      <c r="O16" s="34"/>
    </row>
    <row r="17" spans="1:15" x14ac:dyDescent="0.2">
      <c r="A17" t="s">
        <v>3</v>
      </c>
      <c r="B17" s="34">
        <v>3431.913</v>
      </c>
      <c r="C17" s="34">
        <v>3425.4908799999998</v>
      </c>
      <c r="D17" s="34">
        <v>3406.5159399999998</v>
      </c>
      <c r="E17" s="34">
        <v>3398.0137300000001</v>
      </c>
      <c r="F17" s="34">
        <v>3672.3625299999999</v>
      </c>
      <c r="G17" s="34">
        <v>3668.00477</v>
      </c>
      <c r="H17" s="34">
        <v>3720.6751100000001</v>
      </c>
      <c r="I17" s="34">
        <v>3817.1144199999999</v>
      </c>
      <c r="J17" s="34">
        <v>3892.9520499999999</v>
      </c>
      <c r="K17" s="34">
        <v>4139.0750200000002</v>
      </c>
      <c r="L17" s="34">
        <v>4114.2254000000003</v>
      </c>
      <c r="M17" s="34">
        <v>4213.1768300000003</v>
      </c>
    </row>
    <row r="18" spans="1:15" x14ac:dyDescent="0.2">
      <c r="A18" t="s">
        <v>4</v>
      </c>
      <c r="B18" s="37">
        <f>961679.785-SUM(B10:B15)</f>
        <v>36561.852000000072</v>
      </c>
      <c r="C18" s="37">
        <f>987810.265-SUM(C10:C15)</f>
        <v>35658.217999999993</v>
      </c>
      <c r="D18" s="37">
        <f>998215.353-SUM(D10:D15)</f>
        <v>35792.635999999824</v>
      </c>
      <c r="E18" s="37">
        <f>980862.643-SUM(E10:E15)</f>
        <v>34722.886000000057</v>
      </c>
      <c r="F18" s="37">
        <f>976949.484-SUM(F10:F15)</f>
        <v>35884.896000000299</v>
      </c>
      <c r="G18" s="37">
        <f>994361.11-SUM(G10:G15)</f>
        <v>35308.87799999991</v>
      </c>
      <c r="H18" s="37">
        <f>990108.826-SUM(H10:H15)</f>
        <v>35374.091000000015</v>
      </c>
      <c r="I18" s="37">
        <f>1014415.324-SUM(I10:I15)</f>
        <v>34925.802000000142</v>
      </c>
      <c r="J18" s="37">
        <f>1036921.486-SUM(J10:J15)</f>
        <v>35024.066999999923</v>
      </c>
      <c r="K18" s="37">
        <f>1042599.656-SUM(K10:K15)</f>
        <v>34191.5349999998</v>
      </c>
      <c r="L18" s="37">
        <f>1065123030/1000-SUM(L10:L15)</f>
        <v>34315.457999999984</v>
      </c>
      <c r="M18" s="37">
        <f>1077651712/1000-SUM(M10:M15)</f>
        <v>34233.904999999912</v>
      </c>
    </row>
    <row r="19" spans="1:15" x14ac:dyDescent="0.2">
      <c r="B19" s="34"/>
      <c r="C19" s="34"/>
      <c r="D19" s="34"/>
      <c r="E19" s="34"/>
      <c r="F19" s="34"/>
      <c r="G19" s="34"/>
      <c r="H19" s="34"/>
      <c r="I19" s="34"/>
      <c r="J19" s="34"/>
      <c r="K19" s="34"/>
      <c r="L19" s="34"/>
      <c r="M19" s="34"/>
    </row>
    <row r="20" spans="1:15" ht="13.5" thickBot="1" x14ac:dyDescent="0.25">
      <c r="A20" s="2" t="s">
        <v>11</v>
      </c>
      <c r="B20" s="35">
        <f>B21+B22+B23+B24</f>
        <v>166272.480928</v>
      </c>
      <c r="C20" s="35">
        <f>C21+C22+C23+C24</f>
        <v>155763.55019209406</v>
      </c>
      <c r="D20" s="35">
        <f>D21+D22+D23+D24</f>
        <v>155172.36202387701</v>
      </c>
      <c r="E20" s="35">
        <f t="shared" ref="E20:J20" si="2">SUM(E21:E24)</f>
        <v>136033.4041949001</v>
      </c>
      <c r="F20" s="35">
        <f t="shared" si="2"/>
        <v>152067.28100448867</v>
      </c>
      <c r="G20" s="35">
        <f t="shared" si="2"/>
        <v>140241.40481656592</v>
      </c>
      <c r="H20" s="35">
        <f t="shared" si="2"/>
        <v>140960.70032271437</v>
      </c>
      <c r="I20" s="35">
        <f t="shared" si="2"/>
        <v>135959.33045989787</v>
      </c>
      <c r="J20" s="35">
        <f t="shared" si="2"/>
        <v>139256.54538738361</v>
      </c>
      <c r="K20" s="35">
        <f>SUM(K21:K24)</f>
        <v>141441.44380099999</v>
      </c>
      <c r="L20" s="35">
        <f>SUM(L21:L24)</f>
        <v>144126.51287829014</v>
      </c>
      <c r="M20" s="35">
        <f>SUM(M21:M24)</f>
        <v>143454.86816177602</v>
      </c>
    </row>
    <row r="21" spans="1:15" x14ac:dyDescent="0.2">
      <c r="A21" t="s">
        <v>5</v>
      </c>
      <c r="B21" s="37">
        <v>134383.65812000001</v>
      </c>
      <c r="C21" s="37">
        <v>126618.22538510607</v>
      </c>
      <c r="D21" s="37">
        <v>126177.19831875441</v>
      </c>
      <c r="E21" s="37">
        <v>108177.69461050422</v>
      </c>
      <c r="F21" s="37">
        <v>119587.74738719899</v>
      </c>
      <c r="G21" s="37">
        <v>108906.22681721592</v>
      </c>
      <c r="H21" s="37">
        <v>109458.92789331437</v>
      </c>
      <c r="I21" s="37">
        <v>105997.21092381448</v>
      </c>
      <c r="J21" s="37">
        <v>109073.52914638359</v>
      </c>
      <c r="K21" s="37">
        <v>111264.343557</v>
      </c>
      <c r="L21" s="37">
        <v>112969.20624931609</v>
      </c>
      <c r="M21" s="37">
        <v>112912.57734403081</v>
      </c>
      <c r="N21" s="37"/>
      <c r="O21" s="10"/>
    </row>
    <row r="22" spans="1:15" x14ac:dyDescent="0.2">
      <c r="A22" t="s">
        <v>6</v>
      </c>
      <c r="B22" s="37">
        <v>21171.045736</v>
      </c>
      <c r="C22" s="37">
        <v>20404.623856090984</v>
      </c>
      <c r="D22" s="37">
        <v>20640.309265964952</v>
      </c>
      <c r="E22" s="37">
        <v>20032.739484044578</v>
      </c>
      <c r="F22" s="37">
        <v>25429.190293349999</v>
      </c>
      <c r="G22" s="37">
        <v>23928.57092332</v>
      </c>
      <c r="H22" s="37">
        <v>24070.7262276</v>
      </c>
      <c r="I22" s="37">
        <v>23720.705458083386</v>
      </c>
      <c r="J22" s="37">
        <v>23886.6787124</v>
      </c>
      <c r="K22" s="37">
        <v>24134.281701999997</v>
      </c>
      <c r="L22" s="37">
        <v>24999.583882174054</v>
      </c>
      <c r="M22" s="37">
        <v>24676.291295360425</v>
      </c>
      <c r="O22" s="10"/>
    </row>
    <row r="23" spans="1:15" x14ac:dyDescent="0.2">
      <c r="A23" t="s">
        <v>7</v>
      </c>
      <c r="B23" s="37">
        <v>6806.1027360000007</v>
      </c>
      <c r="C23" s="37">
        <v>6551.57030587806</v>
      </c>
      <c r="D23" s="37">
        <v>6655.9183210217843</v>
      </c>
      <c r="E23" s="37">
        <v>6394.3383219618481</v>
      </c>
      <c r="F23" s="37">
        <v>7045.3163543187156</v>
      </c>
      <c r="G23" s="37">
        <v>7406.6070760299999</v>
      </c>
      <c r="H23" s="37">
        <v>7431.0462018000007</v>
      </c>
      <c r="I23" s="37">
        <v>6241.4140779999998</v>
      </c>
      <c r="J23" s="37">
        <v>6296.3375286</v>
      </c>
      <c r="K23" s="37">
        <v>6042.8185419999991</v>
      </c>
      <c r="L23" s="37">
        <v>6157.7227468000001</v>
      </c>
      <c r="M23" s="37">
        <v>5865.99952238477</v>
      </c>
      <c r="O23" s="10"/>
    </row>
    <row r="24" spans="1:15" x14ac:dyDescent="0.2">
      <c r="A24" t="s">
        <v>8</v>
      </c>
      <c r="B24" s="37">
        <v>3911.674336</v>
      </c>
      <c r="C24" s="37">
        <v>2189.1306450189445</v>
      </c>
      <c r="D24" s="37">
        <v>1698.9361181358681</v>
      </c>
      <c r="E24" s="37">
        <v>1428.6317783894399</v>
      </c>
      <c r="F24" s="37">
        <v>5.0269696209649997</v>
      </c>
      <c r="G24" s="44">
        <v>0</v>
      </c>
      <c r="H24" s="44">
        <v>0</v>
      </c>
      <c r="I24" s="44">
        <v>0</v>
      </c>
      <c r="J24" s="44">
        <v>0</v>
      </c>
      <c r="K24" s="44">
        <v>0</v>
      </c>
      <c r="L24" s="44">
        <v>0</v>
      </c>
      <c r="M24" s="44">
        <v>0</v>
      </c>
      <c r="O24" s="10"/>
    </row>
    <row r="25" spans="1:15" ht="13.5" thickBot="1" x14ac:dyDescent="0.25">
      <c r="A25" s="6"/>
      <c r="B25" s="36"/>
      <c r="C25" s="36"/>
      <c r="D25" s="36"/>
      <c r="E25" s="36"/>
      <c r="F25" s="36"/>
      <c r="G25" s="36"/>
      <c r="H25" s="36"/>
      <c r="I25" s="36"/>
      <c r="J25" s="36"/>
      <c r="K25" s="36"/>
      <c r="L25" s="36"/>
      <c r="M25" s="36"/>
    </row>
    <row r="26" spans="1:15" x14ac:dyDescent="0.2">
      <c r="A26" s="1" t="s">
        <v>9</v>
      </c>
      <c r="B26" s="32">
        <f t="shared" ref="B26:G26" si="3">+B9+B20</f>
        <v>1149138.869928</v>
      </c>
      <c r="C26" s="32">
        <f t="shared" si="3"/>
        <v>1164842.4047420942</v>
      </c>
      <c r="D26" s="32">
        <f t="shared" si="3"/>
        <v>1174699.0858338771</v>
      </c>
      <c r="E26" s="32">
        <f t="shared" si="3"/>
        <v>1138230.4760849001</v>
      </c>
      <c r="F26" s="32">
        <f t="shared" si="3"/>
        <v>1149583.8415844887</v>
      </c>
      <c r="G26" s="32">
        <f t="shared" si="3"/>
        <v>1154983.8101365659</v>
      </c>
      <c r="H26" s="32">
        <f t="shared" ref="H26:M26" si="4">+H9+H20</f>
        <v>1153677.1305227142</v>
      </c>
      <c r="I26" s="32">
        <f t="shared" si="4"/>
        <v>1173338.1860998978</v>
      </c>
      <c r="J26" s="32">
        <f t="shared" si="4"/>
        <v>1199683.2547773835</v>
      </c>
      <c r="K26" s="32">
        <f t="shared" si="4"/>
        <v>1207398.6944009999</v>
      </c>
      <c r="L26" s="32">
        <f t="shared" si="4"/>
        <v>1232625.1614682905</v>
      </c>
      <c r="M26" s="32">
        <f t="shared" si="4"/>
        <v>1244414.4809617763</v>
      </c>
    </row>
    <row r="27" spans="1:15" x14ac:dyDescent="0.2">
      <c r="A27" s="20"/>
      <c r="B27" s="20"/>
      <c r="C27" s="20"/>
      <c r="D27" s="20"/>
      <c r="E27" s="20"/>
      <c r="F27" s="20"/>
      <c r="G27" s="20"/>
      <c r="H27" s="20"/>
      <c r="I27" s="20"/>
      <c r="J27" s="20"/>
      <c r="K27" s="20"/>
      <c r="L27" s="20"/>
      <c r="M27" s="20"/>
    </row>
    <row r="28" spans="1:15" x14ac:dyDescent="0.2">
      <c r="A28" s="7" t="s">
        <v>26</v>
      </c>
    </row>
    <row r="29" spans="1:15" x14ac:dyDescent="0.2">
      <c r="A29" s="7"/>
    </row>
    <row r="30" spans="1:15" x14ac:dyDescent="0.2">
      <c r="E30" s="10"/>
      <c r="F30" s="10"/>
      <c r="G30" s="10"/>
      <c r="H30" s="10"/>
      <c r="I30" s="10"/>
      <c r="J30" s="10"/>
      <c r="K30" s="10"/>
      <c r="L30" s="10"/>
      <c r="M30" s="10"/>
    </row>
  </sheetData>
  <phoneticPr fontId="0" type="noConversion"/>
  <pageMargins left="0.78740157499999996" right="0.78740157499999996" top="0.984251969" bottom="0.984251969" header="0.49212598499999999" footer="0.49212598499999999"/>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9"/>
  <sheetViews>
    <sheetView workbookViewId="0">
      <pane xSplit="1" topLeftCell="B1" activePane="topRight" state="frozen"/>
      <selection activeCell="E1" sqref="E1:G2"/>
      <selection pane="topRight" activeCell="E1" sqref="E1:G2"/>
    </sheetView>
  </sheetViews>
  <sheetFormatPr defaultRowHeight="12.75" x14ac:dyDescent="0.2"/>
  <cols>
    <col min="1" max="1" width="41.85546875" customWidth="1"/>
    <col min="2" max="13" width="16.85546875" customWidth="1"/>
    <col min="14" max="14" width="10.28515625" bestFit="1" customWidth="1"/>
  </cols>
  <sheetData>
    <row r="1" spans="1:13" ht="26.25" x14ac:dyDescent="0.4">
      <c r="A1" s="13" t="s">
        <v>20</v>
      </c>
      <c r="B1" s="14" t="s">
        <v>18</v>
      </c>
      <c r="C1" s="15"/>
      <c r="D1" s="16"/>
    </row>
    <row r="2" spans="1:13" x14ac:dyDescent="0.2">
      <c r="A2" s="14"/>
      <c r="B2" s="15"/>
      <c r="C2" s="15"/>
      <c r="D2" s="16"/>
    </row>
    <row r="3" spans="1:13" x14ac:dyDescent="0.2">
      <c r="A3" s="17" t="s">
        <v>21</v>
      </c>
    </row>
    <row r="4" spans="1:13" x14ac:dyDescent="0.2">
      <c r="A4" s="17" t="s">
        <v>22</v>
      </c>
    </row>
    <row r="6" spans="1:13" x14ac:dyDescent="0.2">
      <c r="A6" s="1" t="s">
        <v>16</v>
      </c>
    </row>
    <row r="7" spans="1:13" x14ac:dyDescent="0.2">
      <c r="A7" s="1" t="s">
        <v>23</v>
      </c>
    </row>
    <row r="8" spans="1:13" ht="13.5" thickBot="1" x14ac:dyDescent="0.25">
      <c r="B8" s="21">
        <v>39083</v>
      </c>
      <c r="C8" s="21">
        <v>39114</v>
      </c>
      <c r="D8" s="21">
        <v>39142</v>
      </c>
      <c r="E8" s="21">
        <v>39173</v>
      </c>
      <c r="F8" s="21">
        <v>39203</v>
      </c>
      <c r="G8" s="21">
        <v>39234</v>
      </c>
      <c r="H8" s="21">
        <v>39264</v>
      </c>
      <c r="I8" s="21">
        <v>39295</v>
      </c>
      <c r="J8" s="21">
        <v>39326</v>
      </c>
      <c r="K8" s="21">
        <v>39356</v>
      </c>
      <c r="L8" s="21">
        <v>39387</v>
      </c>
      <c r="M8" s="21">
        <v>39417</v>
      </c>
    </row>
    <row r="9" spans="1:13" ht="13.5" thickBot="1" x14ac:dyDescent="0.25">
      <c r="A9" s="19" t="s">
        <v>10</v>
      </c>
      <c r="B9" s="23">
        <f t="shared" ref="B9:H9" si="0">SUM(B10:B18)</f>
        <v>1095464.8119499998</v>
      </c>
      <c r="C9" s="23">
        <f t="shared" si="0"/>
        <v>1128418.2791500001</v>
      </c>
      <c r="D9" s="23">
        <f t="shared" si="0"/>
        <v>1151278.19001</v>
      </c>
      <c r="E9" s="23">
        <f t="shared" si="0"/>
        <v>1161265.2698400002</v>
      </c>
      <c r="F9" s="23">
        <f t="shared" si="0"/>
        <v>1184625.7894199998</v>
      </c>
      <c r="G9" s="23">
        <f t="shared" si="0"/>
        <v>1210366.0351999998</v>
      </c>
      <c r="H9" s="23">
        <f t="shared" si="0"/>
        <v>1182605.0728199999</v>
      </c>
      <c r="I9" s="23">
        <f>SUM(I10:I18)</f>
        <v>1200095.6220199999</v>
      </c>
      <c r="J9" s="23">
        <f>SUM(J10:J18)</f>
        <v>1212089.4343699999</v>
      </c>
      <c r="K9" s="23">
        <f>SUM(K10:K18)</f>
        <v>1210350.35797</v>
      </c>
      <c r="L9" s="23">
        <f>SUM(L10:L18)</f>
        <v>1230697.5435299999</v>
      </c>
      <c r="M9" s="23">
        <f>SUM(M10:M18)</f>
        <v>1236540.4210399999</v>
      </c>
    </row>
    <row r="10" spans="1:13" x14ac:dyDescent="0.2">
      <c r="A10" t="s">
        <v>0</v>
      </c>
      <c r="B10" s="37">
        <v>315345.93300000002</v>
      </c>
      <c r="C10" s="37">
        <v>329681.23700000002</v>
      </c>
      <c r="D10" s="37">
        <v>349062</v>
      </c>
      <c r="E10" s="37">
        <v>328271.84600000002</v>
      </c>
      <c r="F10" s="37">
        <v>335419.64399999997</v>
      </c>
      <c r="G10" s="37">
        <v>350728.58100000001</v>
      </c>
      <c r="H10" s="37">
        <v>310482.84100000001</v>
      </c>
      <c r="I10" s="37">
        <v>314723.31699999998</v>
      </c>
      <c r="J10" s="37">
        <v>320842.79499999998</v>
      </c>
      <c r="K10" s="37">
        <v>295605.49400000001</v>
      </c>
      <c r="L10" s="37">
        <v>312834.73</v>
      </c>
      <c r="M10" s="37">
        <v>325636.56800000003</v>
      </c>
    </row>
    <row r="11" spans="1:13" x14ac:dyDescent="0.2">
      <c r="A11" t="s">
        <v>19</v>
      </c>
      <c r="B11" s="37">
        <v>416544.79200000002</v>
      </c>
      <c r="C11" s="37">
        <v>423794.12900000002</v>
      </c>
      <c r="D11" s="37">
        <v>410835.96899999998</v>
      </c>
      <c r="E11" s="37">
        <v>419905.05800000002</v>
      </c>
      <c r="F11" s="37">
        <v>424160.049</v>
      </c>
      <c r="G11" s="37">
        <v>402306.22399999999</v>
      </c>
      <c r="H11" s="37">
        <v>408035.64500000002</v>
      </c>
      <c r="I11" s="37">
        <v>413922.95</v>
      </c>
      <c r="J11" s="37">
        <v>405098.09600000002</v>
      </c>
      <c r="K11" s="37">
        <v>420284.34399999998</v>
      </c>
      <c r="L11" s="37">
        <v>420122.45899999997</v>
      </c>
      <c r="M11" s="37">
        <v>404683.533</v>
      </c>
    </row>
    <row r="12" spans="1:13" x14ac:dyDescent="0.2">
      <c r="A12" t="s">
        <v>1</v>
      </c>
      <c r="B12" s="37">
        <v>66482.982999999993</v>
      </c>
      <c r="C12" s="37">
        <v>66564.835000000006</v>
      </c>
      <c r="D12" s="37">
        <v>66658.493000000002</v>
      </c>
      <c r="E12" s="37">
        <v>64228.120999999999</v>
      </c>
      <c r="F12" s="37">
        <v>64449.724999999999</v>
      </c>
      <c r="G12" s="37">
        <v>64929.873</v>
      </c>
      <c r="H12" s="37">
        <v>63572.161999999997</v>
      </c>
      <c r="I12" s="37">
        <v>64554.209000000003</v>
      </c>
      <c r="J12" s="37">
        <v>65380.146000000001</v>
      </c>
      <c r="K12" s="37">
        <v>65532.326000000001</v>
      </c>
      <c r="L12" s="37">
        <v>66211.462</v>
      </c>
      <c r="M12" s="37">
        <v>67865.357000000004</v>
      </c>
    </row>
    <row r="13" spans="1:13" x14ac:dyDescent="0.2">
      <c r="A13" t="s">
        <v>2</v>
      </c>
      <c r="B13" s="37">
        <v>1245.6220000000001</v>
      </c>
      <c r="C13" s="37">
        <v>1255.8230000000001</v>
      </c>
      <c r="D13" s="37">
        <v>1231.7539999999999</v>
      </c>
      <c r="E13" s="37">
        <v>1236.6300000000001</v>
      </c>
      <c r="F13" s="37">
        <v>1190.204</v>
      </c>
      <c r="G13" s="37">
        <v>1203.0830000000001</v>
      </c>
      <c r="H13" s="37">
        <v>1107.1510000000001</v>
      </c>
      <c r="I13" s="37">
        <v>1171.3320000000001</v>
      </c>
      <c r="J13" s="37">
        <v>1113.5640000000001</v>
      </c>
      <c r="K13" s="37">
        <v>1072.712</v>
      </c>
      <c r="L13" s="37">
        <v>1110.424</v>
      </c>
      <c r="M13" s="37">
        <v>1117.9929999999999</v>
      </c>
    </row>
    <row r="14" spans="1:13" x14ac:dyDescent="0.2">
      <c r="A14" t="s">
        <v>24</v>
      </c>
      <c r="B14" s="37">
        <v>175689.86499999999</v>
      </c>
      <c r="C14" s="37">
        <v>178239.171</v>
      </c>
      <c r="D14" s="37">
        <v>184053.01300000001</v>
      </c>
      <c r="E14" s="37">
        <v>196654.77100000001</v>
      </c>
      <c r="F14" s="37">
        <v>198117.43</v>
      </c>
      <c r="G14" s="37">
        <v>215358.323</v>
      </c>
      <c r="H14" s="37">
        <v>221904.394</v>
      </c>
      <c r="I14" s="37">
        <v>224630.533</v>
      </c>
      <c r="J14" s="37">
        <v>236308.29800000001</v>
      </c>
      <c r="K14" s="37">
        <v>241456.17</v>
      </c>
      <c r="L14" s="37">
        <v>243700.72399999999</v>
      </c>
      <c r="M14" s="37">
        <v>248586.64799999999</v>
      </c>
    </row>
    <row r="15" spans="1:13" x14ac:dyDescent="0.2">
      <c r="A15" t="s">
        <v>25</v>
      </c>
      <c r="B15" s="37">
        <v>62904.131000000001</v>
      </c>
      <c r="C15" s="37">
        <v>69767.161999999997</v>
      </c>
      <c r="D15" s="37">
        <v>79997.328999999998</v>
      </c>
      <c r="E15" s="37">
        <v>92088.101999999999</v>
      </c>
      <c r="F15" s="37">
        <v>103047.845</v>
      </c>
      <c r="G15" s="37">
        <v>117289.202</v>
      </c>
      <c r="H15" s="37">
        <v>119037.42</v>
      </c>
      <c r="I15" s="37">
        <v>122177.287</v>
      </c>
      <c r="J15" s="37">
        <v>125484.261</v>
      </c>
      <c r="K15" s="37">
        <v>129953.524</v>
      </c>
      <c r="L15" s="37">
        <v>131124.79199999999</v>
      </c>
      <c r="M15" s="37">
        <v>134807.421</v>
      </c>
    </row>
    <row r="16" spans="1:13" x14ac:dyDescent="0.2">
      <c r="A16" t="s">
        <v>14</v>
      </c>
      <c r="B16" s="34">
        <v>19026.522430000001</v>
      </c>
      <c r="C16" s="34">
        <v>20934.860560000001</v>
      </c>
      <c r="D16" s="34">
        <v>21451.731800000001</v>
      </c>
      <c r="E16" s="34">
        <v>21246.615579999998</v>
      </c>
      <c r="F16" s="34">
        <v>21257.14747</v>
      </c>
      <c r="G16" s="34">
        <v>21498.389039999998</v>
      </c>
      <c r="H16" s="34">
        <v>21688.78586</v>
      </c>
      <c r="I16" s="34">
        <v>21740.533480000002</v>
      </c>
      <c r="J16" s="34">
        <v>21280.709449999998</v>
      </c>
      <c r="K16" s="34">
        <v>21035.246179999998</v>
      </c>
      <c r="L16" s="34">
        <v>20120.944019999999</v>
      </c>
      <c r="M16" s="34">
        <v>20776.509559999999</v>
      </c>
    </row>
    <row r="17" spans="1:14" x14ac:dyDescent="0.2">
      <c r="A17" t="s">
        <v>3</v>
      </c>
      <c r="B17" s="34">
        <v>4207.0145199999997</v>
      </c>
      <c r="C17" s="34">
        <v>4209.4865900000004</v>
      </c>
      <c r="D17" s="34">
        <v>4340.6892099999995</v>
      </c>
      <c r="E17" s="34">
        <v>4446.1052599999994</v>
      </c>
      <c r="F17" s="34">
        <v>4429.3569500000003</v>
      </c>
      <c r="G17" s="34">
        <v>4472.2591600000005</v>
      </c>
      <c r="H17" s="34">
        <v>4505.6239599999999</v>
      </c>
      <c r="I17" s="34">
        <v>4467.6895400000003</v>
      </c>
      <c r="J17" s="34">
        <v>4495.1839200000004</v>
      </c>
      <c r="K17" s="34">
        <v>4554.5857900000001</v>
      </c>
      <c r="L17" s="34">
        <v>4493.5375100000001</v>
      </c>
      <c r="M17" s="34">
        <v>4859.1524800000007</v>
      </c>
    </row>
    <row r="18" spans="1:14" x14ac:dyDescent="0.2">
      <c r="A18" t="s">
        <v>4</v>
      </c>
      <c r="B18" s="37">
        <f>1072231275/1000-SUM(B10:B15)</f>
        <v>34017.94899999979</v>
      </c>
      <c r="C18" s="37">
        <f>1103273932/1000-SUM(C10:C15)</f>
        <v>33971.575000000186</v>
      </c>
      <c r="D18" s="37">
        <f>(1125485769/1000-SUM(D10:D15))</f>
        <v>33647.211000000127</v>
      </c>
      <c r="E18" s="37">
        <f>(35323+301+8502842+13276+1735900+1052633+3167951+3808801+971040+278182+8290976+249552+1477973+123724+3479547)/1000</f>
        <v>33188.021000000001</v>
      </c>
      <c r="F18" s="37">
        <f>(35555+302+8442094+13364+1639416+1059661+3197879+3800262+949069+266659+7886555+239057+1404714+117458+3502343)/1000</f>
        <v>32554.387999999999</v>
      </c>
      <c r="G18" s="37">
        <f>(35762+302+8417207+13442+1630082+1065110+3236248+3787323+927161+268843+7897860+240984+1454301+82662+3522814)/1000</f>
        <v>32580.100999999999</v>
      </c>
      <c r="H18" s="37">
        <f>(35989+303+8403485+13475+1582205+1060955+3275487+3776354+868942+264924+7723012+237376+1428663+64846+3535034)/1000</f>
        <v>32271.05</v>
      </c>
      <c r="I18" s="37">
        <f>(36217+303+8439561+13561+1646169+1049860+3338995+3765518+822857+278935+8089194+249971+1482690+67810+3426130)/1000</f>
        <v>32707.771000000001</v>
      </c>
      <c r="J18" s="37">
        <f>((32640+303+8479516+13632+1536071+1068920+3413713+3747078+781804+230193+7610416+237198+1427327+63627+3443943))/1000</f>
        <v>32086.381000000001</v>
      </c>
      <c r="K18" s="37">
        <f>((32837+303+7896980+13710+1450438+1085208+3482113+3732712+740824+221017+7111291+198986+1379911+45057+3464569))/1000</f>
        <v>30855.955999999998</v>
      </c>
      <c r="L18" s="37">
        <f>(33016+304+7738564+13784+1476770+1092815+3539309+3714573+710345+228505+7295184+205743+1400001+46124+3483434)/1000</f>
        <v>30978.471000000001</v>
      </c>
      <c r="M18" s="37">
        <f>(33198+304+7687727+13861+1459982+1106358+3634708+3695869+686468+229595+7267686+206663+1444519+45848+694453)/1000</f>
        <v>28207.239000000001</v>
      </c>
    </row>
    <row r="19" spans="1:14" x14ac:dyDescent="0.2">
      <c r="B19" s="34"/>
      <c r="C19" s="34"/>
      <c r="D19" s="34"/>
      <c r="E19" s="34"/>
      <c r="F19" s="34"/>
      <c r="G19" s="34"/>
      <c r="H19" s="34"/>
      <c r="I19" s="34"/>
      <c r="J19" s="34"/>
      <c r="K19" s="34"/>
      <c r="L19" s="34"/>
      <c r="M19" s="34"/>
    </row>
    <row r="20" spans="1:14" ht="13.5" thickBot="1" x14ac:dyDescent="0.25">
      <c r="A20" s="2" t="s">
        <v>11</v>
      </c>
      <c r="B20" s="35">
        <f t="shared" ref="B20:H20" si="1">B21+B22+B23+B24</f>
        <v>140529.57071428286</v>
      </c>
      <c r="C20" s="35">
        <f t="shared" si="1"/>
        <v>140343.01348221319</v>
      </c>
      <c r="D20" s="35">
        <f t="shared" si="1"/>
        <v>135623.89159982832</v>
      </c>
      <c r="E20" s="35">
        <f t="shared" si="1"/>
        <v>134472.69809842735</v>
      </c>
      <c r="F20" s="35">
        <f t="shared" si="1"/>
        <v>125379.82637166737</v>
      </c>
      <c r="G20" s="35">
        <f t="shared" si="1"/>
        <v>126438.95342984668</v>
      </c>
      <c r="H20" s="35">
        <f t="shared" si="1"/>
        <v>118276.6334369258</v>
      </c>
      <c r="I20" s="35">
        <f>I21+I22+I23+I24</f>
        <v>123187.00563812393</v>
      </c>
      <c r="J20" s="35">
        <f>J21+J22+J23+J24</f>
        <v>115083.37492988787</v>
      </c>
      <c r="K20" s="35">
        <f>K21+K22+K23+K24</f>
        <v>108111.82141128978</v>
      </c>
      <c r="L20" s="35">
        <f>L21+L22+L23+L24</f>
        <v>110227.64082323921</v>
      </c>
      <c r="M20" s="35">
        <f>M21+M22+M23+M24</f>
        <v>108884.09721396962</v>
      </c>
    </row>
    <row r="21" spans="1:14" x14ac:dyDescent="0.2">
      <c r="A21" t="s">
        <v>5</v>
      </c>
      <c r="B21" s="37">
        <v>110310.15625232313</v>
      </c>
      <c r="C21" s="37">
        <v>110001.45599817841</v>
      </c>
      <c r="D21" s="42">
        <v>106756.72017888316</v>
      </c>
      <c r="E21" s="42">
        <v>106188.24706093891</v>
      </c>
      <c r="F21" s="42">
        <v>98810.879733019465</v>
      </c>
      <c r="G21" s="42">
        <v>100076.63485226674</v>
      </c>
      <c r="H21" s="42">
        <v>92386.234489109571</v>
      </c>
      <c r="I21" s="42">
        <v>96070.582555789675</v>
      </c>
      <c r="J21" s="42">
        <v>89728.893371736136</v>
      </c>
      <c r="K21" s="42">
        <v>84156.680976639705</v>
      </c>
      <c r="L21" s="42">
        <v>85614.79926007014</v>
      </c>
      <c r="M21" s="42">
        <v>84567.995217206233</v>
      </c>
      <c r="N21" s="10"/>
    </row>
    <row r="22" spans="1:14" x14ac:dyDescent="0.2">
      <c r="A22" t="s">
        <v>6</v>
      </c>
      <c r="B22" s="37">
        <v>24418.439462759219</v>
      </c>
      <c r="C22" s="37">
        <v>24537.727409156047</v>
      </c>
      <c r="D22" s="37">
        <v>23578.199635154378</v>
      </c>
      <c r="E22" s="37">
        <v>23427.464345846965</v>
      </c>
      <c r="F22" s="37">
        <v>22003.529814399739</v>
      </c>
      <c r="G22" s="37">
        <v>21893.308013274524</v>
      </c>
      <c r="H22" s="37">
        <v>21497.487821450632</v>
      </c>
      <c r="I22" s="37">
        <v>22490.987561854741</v>
      </c>
      <c r="J22" s="37">
        <v>20948.812559664813</v>
      </c>
      <c r="K22" s="37">
        <v>19977.287443058725</v>
      </c>
      <c r="L22" s="37">
        <v>20485.671906263327</v>
      </c>
      <c r="M22" s="37">
        <v>20284.292533667725</v>
      </c>
      <c r="N22" s="43"/>
    </row>
    <row r="23" spans="1:14" x14ac:dyDescent="0.2">
      <c r="A23" t="s">
        <v>7</v>
      </c>
      <c r="B23" s="37">
        <v>5800.9749992005191</v>
      </c>
      <c r="C23" s="37">
        <v>5803.8300748787369</v>
      </c>
      <c r="D23" s="37">
        <v>5288.9717857907908</v>
      </c>
      <c r="E23" s="37">
        <v>4856.9866916414676</v>
      </c>
      <c r="F23" s="37">
        <v>4565.4168242481646</v>
      </c>
      <c r="G23" s="37">
        <v>4469.0105643054048</v>
      </c>
      <c r="H23" s="37">
        <v>4392.9111263656005</v>
      </c>
      <c r="I23" s="37">
        <v>4625.4355204795193</v>
      </c>
      <c r="J23" s="37">
        <v>4405.6689984869172</v>
      </c>
      <c r="K23" s="37">
        <v>3977.8529915913596</v>
      </c>
      <c r="L23" s="37">
        <v>4127.1696569057385</v>
      </c>
      <c r="M23" s="37">
        <v>4031.8094630956593</v>
      </c>
      <c r="N23" s="10"/>
    </row>
    <row r="24" spans="1:14" x14ac:dyDescent="0.2">
      <c r="A24" t="s">
        <v>8</v>
      </c>
      <c r="B24" s="44">
        <v>0</v>
      </c>
      <c r="C24" s="44">
        <v>0</v>
      </c>
      <c r="D24" s="44">
        <v>0</v>
      </c>
      <c r="E24" s="44">
        <v>0</v>
      </c>
      <c r="F24" s="44">
        <v>0</v>
      </c>
      <c r="G24" s="44">
        <v>0</v>
      </c>
      <c r="H24" s="44">
        <v>0</v>
      </c>
      <c r="I24" s="44">
        <v>0</v>
      </c>
      <c r="J24" s="44">
        <v>0</v>
      </c>
      <c r="K24" s="44">
        <v>0</v>
      </c>
      <c r="L24" s="44">
        <v>0</v>
      </c>
      <c r="M24" s="44">
        <v>0</v>
      </c>
      <c r="N24" s="10"/>
    </row>
    <row r="25" spans="1:14" ht="13.5" thickBot="1" x14ac:dyDescent="0.25">
      <c r="A25" s="6"/>
      <c r="B25" s="41"/>
      <c r="C25" s="41"/>
      <c r="D25" s="41"/>
      <c r="E25" s="41"/>
      <c r="F25" s="41"/>
      <c r="G25" s="41"/>
      <c r="H25" s="41"/>
      <c r="I25" s="41"/>
      <c r="J25" s="41"/>
      <c r="K25" s="41"/>
      <c r="L25" s="41"/>
      <c r="M25" s="41"/>
    </row>
    <row r="26" spans="1:14" x14ac:dyDescent="0.2">
      <c r="A26" s="1" t="s">
        <v>9</v>
      </c>
      <c r="B26" s="32">
        <f t="shared" ref="B26:G26" si="2">+B9+B20</f>
        <v>1235994.3826642826</v>
      </c>
      <c r="C26" s="32">
        <f t="shared" si="2"/>
        <v>1268761.2926322133</v>
      </c>
      <c r="D26" s="32">
        <f t="shared" si="2"/>
        <v>1286902.0816098284</v>
      </c>
      <c r="E26" s="32">
        <f t="shared" si="2"/>
        <v>1295737.9679384276</v>
      </c>
      <c r="F26" s="32">
        <f t="shared" si="2"/>
        <v>1310005.6157916673</v>
      </c>
      <c r="G26" s="32">
        <f t="shared" si="2"/>
        <v>1336804.9886298464</v>
      </c>
      <c r="H26" s="32">
        <f t="shared" ref="H26:M26" si="3">+H9+H20</f>
        <v>1300881.7062569256</v>
      </c>
      <c r="I26" s="32">
        <f t="shared" si="3"/>
        <v>1323282.6276581238</v>
      </c>
      <c r="J26" s="32">
        <f t="shared" si="3"/>
        <v>1327172.8092998879</v>
      </c>
      <c r="K26" s="32">
        <f t="shared" si="3"/>
        <v>1318462.1793812898</v>
      </c>
      <c r="L26" s="32">
        <f t="shared" si="3"/>
        <v>1340925.1843532391</v>
      </c>
      <c r="M26" s="32">
        <f t="shared" si="3"/>
        <v>1345424.5182539695</v>
      </c>
    </row>
    <row r="27" spans="1:14" x14ac:dyDescent="0.2">
      <c r="A27" s="20"/>
      <c r="B27" s="20"/>
      <c r="C27" s="20"/>
      <c r="D27" s="20"/>
      <c r="E27" s="20"/>
      <c r="F27" s="20"/>
      <c r="G27" s="20"/>
      <c r="H27" s="20"/>
      <c r="I27" s="20"/>
      <c r="J27" s="20"/>
      <c r="K27" s="20"/>
      <c r="L27" s="20"/>
      <c r="M27" s="20"/>
    </row>
    <row r="28" spans="1:14" x14ac:dyDescent="0.2">
      <c r="A28" s="7" t="s">
        <v>26</v>
      </c>
    </row>
    <row r="29" spans="1:14" x14ac:dyDescent="0.2">
      <c r="A29" s="7"/>
    </row>
  </sheetData>
  <phoneticPr fontId="0" type="noConversion"/>
  <pageMargins left="0.78740157499999996" right="0.78740157499999996" top="0.984251969" bottom="0.984251969" header="0.49212598499999999" footer="0.49212598499999999"/>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9"/>
  <sheetViews>
    <sheetView workbookViewId="0">
      <pane xSplit="1" topLeftCell="F1" activePane="topRight" state="frozen"/>
      <selection activeCell="E1" sqref="E1:G2"/>
      <selection pane="topRight" activeCell="A18" sqref="A18:IV18"/>
    </sheetView>
  </sheetViews>
  <sheetFormatPr defaultRowHeight="12.75" x14ac:dyDescent="0.2"/>
  <cols>
    <col min="1" max="1" width="41.85546875" customWidth="1"/>
    <col min="2" max="13" width="16.85546875" customWidth="1"/>
    <col min="14" max="14" width="13.42578125" bestFit="1" customWidth="1"/>
  </cols>
  <sheetData>
    <row r="1" spans="1:14" ht="26.25" x14ac:dyDescent="0.4">
      <c r="A1" s="13" t="s">
        <v>20</v>
      </c>
      <c r="B1" s="14" t="s">
        <v>18</v>
      </c>
      <c r="C1" s="15"/>
      <c r="D1" s="16"/>
    </row>
    <row r="2" spans="1:14" x14ac:dyDescent="0.2">
      <c r="A2" s="14"/>
      <c r="B2" s="15"/>
      <c r="C2" s="15"/>
      <c r="D2" s="16"/>
    </row>
    <row r="3" spans="1:14" x14ac:dyDescent="0.2">
      <c r="A3" s="17" t="s">
        <v>21</v>
      </c>
    </row>
    <row r="4" spans="1:14" x14ac:dyDescent="0.2">
      <c r="A4" s="17" t="s">
        <v>22</v>
      </c>
    </row>
    <row r="6" spans="1:14" x14ac:dyDescent="0.2">
      <c r="A6" s="1" t="s">
        <v>16</v>
      </c>
    </row>
    <row r="7" spans="1:14" x14ac:dyDescent="0.2">
      <c r="A7" s="1" t="s">
        <v>23</v>
      </c>
    </row>
    <row r="8" spans="1:14" ht="13.5" thickBot="1" x14ac:dyDescent="0.25">
      <c r="B8" s="21">
        <v>39448</v>
      </c>
      <c r="C8" s="21">
        <v>39479</v>
      </c>
      <c r="D8" s="21">
        <v>39508</v>
      </c>
      <c r="E8" s="21">
        <v>39539</v>
      </c>
      <c r="F8" s="21">
        <v>39569</v>
      </c>
      <c r="G8" s="21">
        <v>39600</v>
      </c>
      <c r="H8" s="21">
        <v>39630</v>
      </c>
      <c r="I8" s="21">
        <v>39661</v>
      </c>
      <c r="J8" s="21">
        <v>39692</v>
      </c>
      <c r="K8" s="21">
        <v>39722</v>
      </c>
      <c r="L8" s="21">
        <v>39753</v>
      </c>
      <c r="M8" s="21">
        <v>39783</v>
      </c>
    </row>
    <row r="9" spans="1:14" ht="13.5" thickBot="1" x14ac:dyDescent="0.25">
      <c r="A9" s="19" t="s">
        <v>10</v>
      </c>
      <c r="B9" s="23">
        <f t="shared" ref="B9:G9" si="0">SUM(B10:B18)</f>
        <v>1215013.77385</v>
      </c>
      <c r="C9" s="23">
        <f t="shared" si="0"/>
        <v>1253670.8536099999</v>
      </c>
      <c r="D9" s="23">
        <f t="shared" si="0"/>
        <v>1261958.01459</v>
      </c>
      <c r="E9" s="23">
        <f t="shared" si="0"/>
        <v>1230758.3057500001</v>
      </c>
      <c r="F9" s="23">
        <f t="shared" si="0"/>
        <v>1252577.0819699999</v>
      </c>
      <c r="G9" s="23">
        <f t="shared" si="0"/>
        <v>1260223.08761</v>
      </c>
      <c r="H9" s="23">
        <f t="shared" ref="H9:M9" si="1">SUM(H10:H18)</f>
        <v>1216816.9223500001</v>
      </c>
      <c r="I9" s="23">
        <f t="shared" si="1"/>
        <v>1235310.9078600002</v>
      </c>
      <c r="J9" s="47">
        <f t="shared" si="1"/>
        <v>1235957.4566708799</v>
      </c>
      <c r="K9" s="47">
        <f t="shared" si="1"/>
        <v>1237095.9713099999</v>
      </c>
      <c r="L9" s="47">
        <f t="shared" si="1"/>
        <v>1254883.46679</v>
      </c>
      <c r="M9" s="47">
        <f t="shared" si="1"/>
        <v>1275081.3775499999</v>
      </c>
      <c r="N9" s="3"/>
    </row>
    <row r="10" spans="1:14" x14ac:dyDescent="0.2">
      <c r="A10" t="s">
        <v>0</v>
      </c>
      <c r="B10" s="37">
        <v>294721.652</v>
      </c>
      <c r="C10" s="37">
        <v>311911.03700000001</v>
      </c>
      <c r="D10" s="37">
        <v>318737.24300000002</v>
      </c>
      <c r="E10" s="37">
        <v>275916.663</v>
      </c>
      <c r="F10" s="37">
        <v>283268.04200000002</v>
      </c>
      <c r="G10" s="37">
        <v>288400.435</v>
      </c>
      <c r="H10" s="37">
        <v>226922.96100000001</v>
      </c>
      <c r="I10" s="37">
        <v>232595.66800000001</v>
      </c>
      <c r="J10" s="37">
        <v>239006.8549449</v>
      </c>
      <c r="K10" s="37">
        <v>223571.97399999999</v>
      </c>
      <c r="L10" s="37">
        <v>229034.28200000001</v>
      </c>
      <c r="M10" s="37">
        <v>238878.61600000001</v>
      </c>
    </row>
    <row r="11" spans="1:14" x14ac:dyDescent="0.2">
      <c r="A11" t="s">
        <v>19</v>
      </c>
      <c r="B11" s="37">
        <v>414368.08100000001</v>
      </c>
      <c r="C11" s="37">
        <v>423272.08500000002</v>
      </c>
      <c r="D11" s="37">
        <v>412666.64500000002</v>
      </c>
      <c r="E11" s="37">
        <v>426477.48200000002</v>
      </c>
      <c r="F11" s="37">
        <v>434919.69099999999</v>
      </c>
      <c r="G11" s="37">
        <v>425650.89399999997</v>
      </c>
      <c r="H11" s="37">
        <v>439369.891</v>
      </c>
      <c r="I11" s="37">
        <v>447233.78100000002</v>
      </c>
      <c r="J11" s="37">
        <v>433468.09399999998</v>
      </c>
      <c r="K11" s="37">
        <v>440516.81</v>
      </c>
      <c r="L11" s="37">
        <v>451807.22399999999</v>
      </c>
      <c r="M11" s="37">
        <v>449078.72499999998</v>
      </c>
    </row>
    <row r="12" spans="1:14" x14ac:dyDescent="0.2">
      <c r="A12" t="s">
        <v>1</v>
      </c>
      <c r="B12" s="37">
        <v>66600.941000000006</v>
      </c>
      <c r="C12" s="37">
        <v>67453.960999999996</v>
      </c>
      <c r="D12" s="37">
        <v>68206.37</v>
      </c>
      <c r="E12" s="37">
        <v>56461.351000000002</v>
      </c>
      <c r="F12" s="37">
        <v>57782.451999999997</v>
      </c>
      <c r="G12" s="37">
        <v>59387.591</v>
      </c>
      <c r="H12" s="37">
        <v>58911.97</v>
      </c>
      <c r="I12" s="37">
        <v>58694.993999999999</v>
      </c>
      <c r="J12" s="37">
        <v>59083.26286997</v>
      </c>
      <c r="K12" s="37">
        <v>59654.593000000001</v>
      </c>
      <c r="L12" s="37">
        <v>60350.430999999997</v>
      </c>
      <c r="M12" s="37">
        <v>60743.266000000003</v>
      </c>
    </row>
    <row r="13" spans="1:14" x14ac:dyDescent="0.2">
      <c r="A13" t="s">
        <v>2</v>
      </c>
      <c r="B13" s="37">
        <v>1043.7619999999999</v>
      </c>
      <c r="C13" s="37">
        <v>1012.495</v>
      </c>
      <c r="D13" s="37">
        <v>1066.364</v>
      </c>
      <c r="E13" s="37">
        <v>1044.1969999999999</v>
      </c>
      <c r="F13" s="37">
        <v>1024.8620000000001</v>
      </c>
      <c r="G13" s="37">
        <v>1017.004</v>
      </c>
      <c r="H13" s="44">
        <v>0</v>
      </c>
      <c r="I13" s="44">
        <v>0</v>
      </c>
      <c r="J13" s="44">
        <v>0</v>
      </c>
      <c r="K13" s="44">
        <v>0</v>
      </c>
      <c r="L13" s="44">
        <v>0</v>
      </c>
      <c r="M13" s="44">
        <v>0</v>
      </c>
    </row>
    <row r="14" spans="1:14" x14ac:dyDescent="0.2">
      <c r="A14" t="s">
        <v>24</v>
      </c>
      <c r="B14" s="37">
        <v>255513.91800000001</v>
      </c>
      <c r="C14" s="37">
        <v>261507.12</v>
      </c>
      <c r="D14" s="37">
        <v>269121.93</v>
      </c>
      <c r="E14" s="37">
        <v>275227.01199999999</v>
      </c>
      <c r="F14" s="37">
        <v>277070.51799999998</v>
      </c>
      <c r="G14" s="37">
        <v>284061.08799999999</v>
      </c>
      <c r="H14" s="37">
        <v>290798.087</v>
      </c>
      <c r="I14" s="37">
        <v>292053.00699999998</v>
      </c>
      <c r="J14" s="37">
        <v>295723.86825104</v>
      </c>
      <c r="K14" s="37">
        <v>299207.40700000001</v>
      </c>
      <c r="L14" s="37">
        <v>296344.76899999997</v>
      </c>
      <c r="M14" s="37">
        <v>305119.51400000002</v>
      </c>
    </row>
    <row r="15" spans="1:14" x14ac:dyDescent="0.2">
      <c r="A15" t="s">
        <v>25</v>
      </c>
      <c r="B15" s="37">
        <v>129186.274</v>
      </c>
      <c r="C15" s="37">
        <v>135229.83799999999</v>
      </c>
      <c r="D15" s="37">
        <v>138529.74600000001</v>
      </c>
      <c r="E15" s="37">
        <v>142238.37</v>
      </c>
      <c r="F15" s="37">
        <v>145922.13399999999</v>
      </c>
      <c r="G15" s="37">
        <v>149076.897</v>
      </c>
      <c r="H15" s="37">
        <v>148858.54199999999</v>
      </c>
      <c r="I15" s="37">
        <v>155928.77100000001</v>
      </c>
      <c r="J15" s="37">
        <v>161502.18255497003</v>
      </c>
      <c r="K15" s="37">
        <v>165706.462</v>
      </c>
      <c r="L15" s="37">
        <v>167144.35200000001</v>
      </c>
      <c r="M15" s="37">
        <v>170743.69699999999</v>
      </c>
    </row>
    <row r="16" spans="1:14" x14ac:dyDescent="0.2">
      <c r="A16" t="s">
        <v>27</v>
      </c>
      <c r="B16" s="34">
        <v>20741.743730000002</v>
      </c>
      <c r="C16" s="34">
        <v>20913.290920000003</v>
      </c>
      <c r="D16" s="34">
        <v>21054.310079999999</v>
      </c>
      <c r="E16" s="34">
        <v>21108.576649999999</v>
      </c>
      <c r="F16" s="34">
        <v>20511.712629999998</v>
      </c>
      <c r="G16" s="34">
        <v>20610.201440000001</v>
      </c>
      <c r="H16" s="34">
        <v>19793.008850000002</v>
      </c>
      <c r="I16" s="34">
        <v>16295.183429999999</v>
      </c>
      <c r="J16" s="37">
        <v>13236.58044</v>
      </c>
      <c r="K16" s="37">
        <v>13399.924279999999</v>
      </c>
      <c r="L16" s="37">
        <v>13912.73646</v>
      </c>
      <c r="M16" s="37">
        <v>15089.32375</v>
      </c>
      <c r="N16" s="37"/>
    </row>
    <row r="17" spans="1:14" x14ac:dyDescent="0.2">
      <c r="A17" t="s">
        <v>3</v>
      </c>
      <c r="B17" s="34">
        <v>4773.7501199999997</v>
      </c>
      <c r="C17" s="34">
        <v>4767.0296900000003</v>
      </c>
      <c r="D17" s="34">
        <v>4771.5555100000001</v>
      </c>
      <c r="E17" s="34">
        <v>4846.1190999999999</v>
      </c>
      <c r="F17" s="34">
        <v>4807.6133399999999</v>
      </c>
      <c r="G17" s="34">
        <v>4850.1881700000004</v>
      </c>
      <c r="H17" s="34">
        <v>4897.9494999999997</v>
      </c>
      <c r="I17" s="34">
        <v>4914.8204299999998</v>
      </c>
      <c r="J17" s="37">
        <v>4833.52261</v>
      </c>
      <c r="K17" s="37">
        <v>4840.8400300000003</v>
      </c>
      <c r="L17" s="37">
        <v>4820.1563299999998</v>
      </c>
      <c r="M17" s="37">
        <v>4742.8087999999998</v>
      </c>
    </row>
    <row r="18" spans="1:14" x14ac:dyDescent="0.2">
      <c r="A18" t="s">
        <v>4</v>
      </c>
      <c r="B18" s="37">
        <v>28063.651999999998</v>
      </c>
      <c r="C18" s="37">
        <v>27603.996999999999</v>
      </c>
      <c r="D18" s="37">
        <v>27803.850999999999</v>
      </c>
      <c r="E18" s="37">
        <v>27438.535</v>
      </c>
      <c r="F18" s="37">
        <v>27270.057000000001</v>
      </c>
      <c r="G18" s="37">
        <v>27168.789000000001</v>
      </c>
      <c r="H18" s="37">
        <v>27264.512999999999</v>
      </c>
      <c r="I18" s="37">
        <v>27594.683000000194</v>
      </c>
      <c r="J18" s="37">
        <v>29103.091</v>
      </c>
      <c r="K18" s="37">
        <v>30197.960999999999</v>
      </c>
      <c r="L18" s="37">
        <v>31469.516</v>
      </c>
      <c r="M18" s="37">
        <v>30685.427</v>
      </c>
      <c r="N18" s="3"/>
    </row>
    <row r="19" spans="1:14" x14ac:dyDescent="0.2">
      <c r="B19" s="34"/>
      <c r="C19" s="34"/>
      <c r="D19" s="34"/>
      <c r="E19" s="34"/>
      <c r="F19" s="34"/>
      <c r="G19" s="34"/>
      <c r="H19" s="34"/>
      <c r="I19" s="34"/>
      <c r="J19" s="45"/>
      <c r="K19" s="45"/>
      <c r="L19" s="45"/>
      <c r="M19" s="45"/>
    </row>
    <row r="20" spans="1:14" ht="13.5" thickBot="1" x14ac:dyDescent="0.25">
      <c r="A20" s="2" t="s">
        <v>11</v>
      </c>
      <c r="B20" s="35">
        <f t="shared" ref="B20:G20" si="2">B21+B22+B23+B24</f>
        <v>107379.92261633999</v>
      </c>
      <c r="C20" s="35">
        <f t="shared" si="2"/>
        <v>103212.55552094286</v>
      </c>
      <c r="D20" s="35">
        <f t="shared" si="2"/>
        <v>106245.35907432632</v>
      </c>
      <c r="E20" s="35">
        <f t="shared" si="2"/>
        <v>99609.611990929523</v>
      </c>
      <c r="F20" s="35">
        <f t="shared" si="2"/>
        <v>97575.658097017571</v>
      </c>
      <c r="G20" s="35">
        <f t="shared" si="2"/>
        <v>96112.133684501532</v>
      </c>
      <c r="H20" s="35">
        <f t="shared" ref="H20:M20" si="3">H21+H22+H23+H24</f>
        <v>93514.924238858803</v>
      </c>
      <c r="I20" s="35">
        <f t="shared" si="3"/>
        <v>96320.779137790421</v>
      </c>
      <c r="J20" s="48">
        <f t="shared" si="3"/>
        <v>110364.35234901971</v>
      </c>
      <c r="K20" s="48">
        <f t="shared" si="3"/>
        <v>119084.64647940159</v>
      </c>
      <c r="L20" s="48">
        <f t="shared" si="3"/>
        <v>129984.19923321801</v>
      </c>
      <c r="M20" s="48">
        <f t="shared" si="3"/>
        <v>132512.24984316656</v>
      </c>
    </row>
    <row r="21" spans="1:14" x14ac:dyDescent="0.2">
      <c r="A21" t="s">
        <v>5</v>
      </c>
      <c r="B21" s="37">
        <v>83086.732494201206</v>
      </c>
      <c r="C21" s="37">
        <v>79934.396572032565</v>
      </c>
      <c r="D21" s="37">
        <v>81770.768507638059</v>
      </c>
      <c r="E21" s="37">
        <v>76485.022661782394</v>
      </c>
      <c r="F21" s="37">
        <v>75136.652777003852</v>
      </c>
      <c r="G21" s="37">
        <v>74144.562467772019</v>
      </c>
      <c r="H21" s="37">
        <v>71923.850595881886</v>
      </c>
      <c r="I21" s="37">
        <v>74022.902880236506</v>
      </c>
      <c r="J21" s="37">
        <v>84596.835681846802</v>
      </c>
      <c r="K21" s="37">
        <v>90883.180866198352</v>
      </c>
      <c r="L21" s="37">
        <v>99035.475586097586</v>
      </c>
      <c r="M21" s="37">
        <v>100924.85051337152</v>
      </c>
      <c r="N21" s="37"/>
    </row>
    <row r="22" spans="1:14" x14ac:dyDescent="0.2">
      <c r="A22" t="s">
        <v>6</v>
      </c>
      <c r="B22" s="37">
        <v>20209.09756547412</v>
      </c>
      <c r="C22" s="37">
        <v>19363.407300833995</v>
      </c>
      <c r="D22" s="37">
        <v>20362.199295710678</v>
      </c>
      <c r="E22" s="37">
        <v>19419.187746132386</v>
      </c>
      <c r="F22" s="37">
        <v>18956.147706514021</v>
      </c>
      <c r="G22" s="37">
        <v>18461.634497841387</v>
      </c>
      <c r="H22" s="37">
        <v>18141.389471843231</v>
      </c>
      <c r="I22" s="37">
        <v>18719.61386060786</v>
      </c>
      <c r="J22" s="37">
        <v>21565.93519087668</v>
      </c>
      <c r="K22" s="37">
        <v>23666.407513602837</v>
      </c>
      <c r="L22" s="37">
        <v>25864.622904240816</v>
      </c>
      <c r="M22" s="37">
        <v>26514.192841769458</v>
      </c>
    </row>
    <row r="23" spans="1:14" x14ac:dyDescent="0.2">
      <c r="A23" t="s">
        <v>7</v>
      </c>
      <c r="B23" s="37">
        <v>4084.0925566646679</v>
      </c>
      <c r="C23" s="37">
        <v>3914.7516480763074</v>
      </c>
      <c r="D23" s="37">
        <v>4112.3912709775868</v>
      </c>
      <c r="E23" s="37">
        <v>3705.4015830147355</v>
      </c>
      <c r="F23" s="37">
        <v>3482.8576134997006</v>
      </c>
      <c r="G23" s="37">
        <v>3505.9367188881324</v>
      </c>
      <c r="H23" s="37">
        <v>3449.6841711336901</v>
      </c>
      <c r="I23" s="37">
        <v>3578.2623969460565</v>
      </c>
      <c r="J23" s="37">
        <v>4201.5814762962236</v>
      </c>
      <c r="K23" s="37">
        <v>4535.0580996004037</v>
      </c>
      <c r="L23" s="37">
        <v>5084.1007428796202</v>
      </c>
      <c r="M23" s="37">
        <v>5073.2064880255803</v>
      </c>
    </row>
    <row r="24" spans="1:14" x14ac:dyDescent="0.2">
      <c r="A24" t="s">
        <v>8</v>
      </c>
      <c r="B24" s="44">
        <v>0</v>
      </c>
      <c r="C24" s="44">
        <v>0</v>
      </c>
      <c r="D24" s="44">
        <v>0</v>
      </c>
      <c r="E24" s="44">
        <v>0</v>
      </c>
      <c r="F24" s="44">
        <v>0</v>
      </c>
      <c r="G24" s="44">
        <v>0</v>
      </c>
      <c r="H24" s="44">
        <v>0</v>
      </c>
      <c r="I24" s="44">
        <v>0</v>
      </c>
      <c r="J24" s="50">
        <v>0</v>
      </c>
      <c r="K24" s="50"/>
      <c r="L24" s="50"/>
      <c r="M24" s="50"/>
    </row>
    <row r="25" spans="1:14" ht="13.5" thickBot="1" x14ac:dyDescent="0.25">
      <c r="A25" s="6"/>
      <c r="B25" s="41"/>
      <c r="C25" s="41"/>
      <c r="D25" s="41"/>
      <c r="E25" s="41"/>
      <c r="F25" s="41"/>
      <c r="G25" s="41"/>
      <c r="H25" s="41"/>
      <c r="I25" s="41"/>
      <c r="J25" s="46"/>
      <c r="K25" s="46"/>
      <c r="L25" s="46"/>
      <c r="M25" s="46"/>
    </row>
    <row r="26" spans="1:14" x14ac:dyDescent="0.2">
      <c r="A26" s="1" t="s">
        <v>9</v>
      </c>
      <c r="B26" s="32">
        <f t="shared" ref="B26:G26" si="4">+B9+B20</f>
        <v>1322393.69646634</v>
      </c>
      <c r="C26" s="32">
        <f t="shared" si="4"/>
        <v>1356883.4091309428</v>
      </c>
      <c r="D26" s="32">
        <f t="shared" si="4"/>
        <v>1368203.3736643263</v>
      </c>
      <c r="E26" s="32">
        <f t="shared" si="4"/>
        <v>1330367.9177409296</v>
      </c>
      <c r="F26" s="32">
        <f t="shared" si="4"/>
        <v>1350152.7400670175</v>
      </c>
      <c r="G26" s="32">
        <f t="shared" si="4"/>
        <v>1356335.2212945016</v>
      </c>
      <c r="H26" s="32">
        <f t="shared" ref="H26:M26" si="5">+H9+H20</f>
        <v>1310331.8465888589</v>
      </c>
      <c r="I26" s="32">
        <f t="shared" si="5"/>
        <v>1331631.6869977906</v>
      </c>
      <c r="J26" s="49">
        <f t="shared" si="5"/>
        <v>1346321.8090198995</v>
      </c>
      <c r="K26" s="49">
        <f t="shared" si="5"/>
        <v>1356180.6177894014</v>
      </c>
      <c r="L26" s="49">
        <f t="shared" si="5"/>
        <v>1384867.6660232181</v>
      </c>
      <c r="M26" s="49">
        <f t="shared" si="5"/>
        <v>1407593.6273931665</v>
      </c>
    </row>
    <row r="27" spans="1:14" x14ac:dyDescent="0.2">
      <c r="A27" s="20"/>
      <c r="B27" s="20"/>
      <c r="C27" s="20"/>
      <c r="D27" s="20"/>
      <c r="E27" s="20"/>
      <c r="F27" s="20"/>
      <c r="G27" s="20"/>
      <c r="H27" s="20"/>
      <c r="I27" s="20"/>
      <c r="J27" s="20"/>
      <c r="K27" s="20"/>
      <c r="L27" s="20"/>
      <c r="M27" s="20"/>
    </row>
    <row r="28" spans="1:14" x14ac:dyDescent="0.2">
      <c r="A28" s="7"/>
    </row>
    <row r="29" spans="1:14" x14ac:dyDescent="0.2">
      <c r="A29" s="7"/>
    </row>
  </sheetData>
  <phoneticPr fontId="0" type="noConversion"/>
  <pageMargins left="0.78740157499999996" right="0.78740157499999996" top="0.984251969" bottom="0.984251969" header="0.49212598499999999" footer="0.49212598499999999"/>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30"/>
  <sheetViews>
    <sheetView workbookViewId="0">
      <pane xSplit="1" topLeftCell="E1" activePane="topRight" state="frozen"/>
      <selection activeCell="E1" sqref="E1:G2"/>
      <selection pane="topRight" activeCell="A18" sqref="A18:IV18"/>
    </sheetView>
  </sheetViews>
  <sheetFormatPr defaultRowHeight="12.75" x14ac:dyDescent="0.2"/>
  <cols>
    <col min="1" max="1" width="41.85546875" customWidth="1"/>
    <col min="2" max="2" width="16.85546875" customWidth="1"/>
    <col min="3" max="3" width="12.7109375" bestFit="1" customWidth="1"/>
    <col min="4" max="9" width="13.85546875" bestFit="1" customWidth="1"/>
    <col min="10" max="13" width="16.42578125" bestFit="1" customWidth="1"/>
    <col min="14" max="14" width="9.28515625" bestFit="1" customWidth="1"/>
  </cols>
  <sheetData>
    <row r="1" spans="1:13" ht="26.25" x14ac:dyDescent="0.4">
      <c r="A1" s="13" t="s">
        <v>20</v>
      </c>
      <c r="B1" s="14" t="s">
        <v>18</v>
      </c>
      <c r="C1" s="15"/>
      <c r="D1" s="15"/>
    </row>
    <row r="2" spans="1:13" x14ac:dyDescent="0.2">
      <c r="A2" s="14"/>
      <c r="B2" s="15"/>
      <c r="C2" s="15"/>
      <c r="D2" s="15"/>
    </row>
    <row r="3" spans="1:13" x14ac:dyDescent="0.2">
      <c r="A3" s="17" t="s">
        <v>21</v>
      </c>
    </row>
    <row r="4" spans="1:13" x14ac:dyDescent="0.2">
      <c r="A4" s="17" t="s">
        <v>22</v>
      </c>
    </row>
    <row r="6" spans="1:13" x14ac:dyDescent="0.2">
      <c r="A6" s="1" t="s">
        <v>16</v>
      </c>
      <c r="I6" s="3"/>
      <c r="J6" s="3"/>
      <c r="K6" s="3"/>
      <c r="L6" s="3"/>
      <c r="M6" s="3"/>
    </row>
    <row r="7" spans="1:13" x14ac:dyDescent="0.2">
      <c r="A7" s="1" t="s">
        <v>23</v>
      </c>
    </row>
    <row r="8" spans="1:13" ht="13.5" thickBot="1" x14ac:dyDescent="0.25">
      <c r="B8" s="21">
        <v>39814</v>
      </c>
      <c r="C8" s="21">
        <v>39845</v>
      </c>
      <c r="D8" s="21">
        <v>39873</v>
      </c>
      <c r="E8" s="21">
        <v>39904</v>
      </c>
      <c r="F8" s="21">
        <v>39934</v>
      </c>
      <c r="G8" s="21">
        <v>39965</v>
      </c>
      <c r="H8" s="21">
        <v>39995</v>
      </c>
      <c r="I8" s="21">
        <v>40026</v>
      </c>
      <c r="J8" s="21">
        <v>40057</v>
      </c>
      <c r="K8" s="21">
        <v>40087</v>
      </c>
      <c r="L8" s="21">
        <v>40118</v>
      </c>
      <c r="M8" s="21">
        <v>40148</v>
      </c>
    </row>
    <row r="9" spans="1:13" ht="13.5" thickBot="1" x14ac:dyDescent="0.25">
      <c r="A9" s="19" t="s">
        <v>10</v>
      </c>
      <c r="B9" s="47">
        <f t="shared" ref="B9:H9" si="0">SUM(B10:B18)</f>
        <v>1231980.7256399998</v>
      </c>
      <c r="C9" s="47">
        <f t="shared" si="0"/>
        <v>1258769.1856394766</v>
      </c>
      <c r="D9" s="47">
        <f t="shared" si="0"/>
        <v>1278459.151273299</v>
      </c>
      <c r="E9" s="47">
        <f t="shared" si="0"/>
        <v>1273403.5022500001</v>
      </c>
      <c r="F9" s="47">
        <f t="shared" si="0"/>
        <v>1286789.5980294873</v>
      </c>
      <c r="G9" s="47">
        <f t="shared" si="0"/>
        <v>1333776.2555200001</v>
      </c>
      <c r="H9" s="47">
        <f t="shared" si="0"/>
        <v>1362204.352697477</v>
      </c>
      <c r="I9" s="47">
        <f>SUM(I10:I18)</f>
        <v>1413479.0122697658</v>
      </c>
      <c r="J9" s="47">
        <f>SUM(J10:J18)</f>
        <v>1399314.9677016689</v>
      </c>
      <c r="K9" s="47">
        <f>SUM(K10:K18)</f>
        <v>1383085.58895</v>
      </c>
      <c r="L9" s="47">
        <f>SUM(L10:L18)</f>
        <v>1402941.6157029301</v>
      </c>
      <c r="M9" s="47">
        <f>SUM(M10:M18)</f>
        <v>1410877.9772399999</v>
      </c>
    </row>
    <row r="10" spans="1:13" x14ac:dyDescent="0.2">
      <c r="A10" t="s">
        <v>0</v>
      </c>
      <c r="B10" s="37">
        <v>177991.848</v>
      </c>
      <c r="C10" s="37">
        <v>188097.64300000001</v>
      </c>
      <c r="D10" s="37">
        <v>212305.005</v>
      </c>
      <c r="E10" s="37">
        <v>187337.247</v>
      </c>
      <c r="F10" s="37">
        <v>200131.57500000001</v>
      </c>
      <c r="G10" s="37">
        <v>232379.11199999999</v>
      </c>
      <c r="H10" s="37">
        <v>217399.43599999999</v>
      </c>
      <c r="I10" s="37">
        <v>237278.345</v>
      </c>
      <c r="J10" s="37">
        <v>246351.93599999999</v>
      </c>
      <c r="K10" s="37">
        <v>214462.72</v>
      </c>
      <c r="L10" s="37">
        <v>232850.45699999999</v>
      </c>
      <c r="M10" s="37">
        <v>247496.152</v>
      </c>
    </row>
    <row r="11" spans="1:13" x14ac:dyDescent="0.2">
      <c r="A11" t="s">
        <v>19</v>
      </c>
      <c r="B11" s="37">
        <v>466597.37599999999</v>
      </c>
      <c r="C11" s="37">
        <v>478276.41700000002</v>
      </c>
      <c r="D11" s="37">
        <v>467411.28399999999</v>
      </c>
      <c r="E11" s="37">
        <v>479986.93800000002</v>
      </c>
      <c r="F11" s="37">
        <v>496890.016</v>
      </c>
      <c r="G11" s="37">
        <v>495377.147</v>
      </c>
      <c r="H11" s="37">
        <v>534113.821</v>
      </c>
      <c r="I11" s="37">
        <v>541545.08400000003</v>
      </c>
      <c r="J11" s="37">
        <v>507661.68</v>
      </c>
      <c r="K11" s="37">
        <v>512576.96299999999</v>
      </c>
      <c r="L11" s="37">
        <v>516071.76199999999</v>
      </c>
      <c r="M11" s="37">
        <v>496697.03600000002</v>
      </c>
    </row>
    <row r="12" spans="1:13" x14ac:dyDescent="0.2">
      <c r="A12" t="s">
        <v>1</v>
      </c>
      <c r="B12" s="37">
        <v>58949.072999999997</v>
      </c>
      <c r="C12" s="37">
        <v>59558.612000000001</v>
      </c>
      <c r="D12" s="37">
        <v>59446.256999999998</v>
      </c>
      <c r="E12" s="37">
        <v>59323.822</v>
      </c>
      <c r="F12" s="37">
        <v>59710.167999999998</v>
      </c>
      <c r="G12" s="37">
        <v>60116.002999999997</v>
      </c>
      <c r="H12" s="37">
        <v>58304.803999999996</v>
      </c>
      <c r="I12" s="37">
        <v>58543.587</v>
      </c>
      <c r="J12" s="37">
        <v>58728.741000000002</v>
      </c>
      <c r="K12" s="37">
        <v>58740.841</v>
      </c>
      <c r="L12" s="37">
        <v>59258.249000000003</v>
      </c>
      <c r="M12" s="37">
        <v>59565.250999999997</v>
      </c>
    </row>
    <row r="13" spans="1:13" x14ac:dyDescent="0.2">
      <c r="A13" t="s">
        <v>2</v>
      </c>
      <c r="B13" s="44">
        <v>0</v>
      </c>
      <c r="C13" s="44">
        <v>0</v>
      </c>
      <c r="D13" s="44">
        <v>0</v>
      </c>
      <c r="E13" s="44">
        <v>0</v>
      </c>
      <c r="F13" s="44">
        <v>0</v>
      </c>
      <c r="G13" s="44">
        <v>0</v>
      </c>
      <c r="H13" s="44">
        <v>0</v>
      </c>
      <c r="I13" s="44">
        <v>0</v>
      </c>
      <c r="J13" s="44">
        <v>0</v>
      </c>
      <c r="K13" s="44">
        <v>0</v>
      </c>
      <c r="L13" s="44">
        <v>0</v>
      </c>
      <c r="M13" s="44">
        <v>0</v>
      </c>
    </row>
    <row r="14" spans="1:13" x14ac:dyDescent="0.2">
      <c r="A14" t="s">
        <v>24</v>
      </c>
      <c r="B14" s="37">
        <v>311100.95500000002</v>
      </c>
      <c r="C14" s="37">
        <v>313290.576</v>
      </c>
      <c r="D14" s="37">
        <v>317534.06199999998</v>
      </c>
      <c r="E14" s="37">
        <v>322696.55699999997</v>
      </c>
      <c r="F14" s="37">
        <v>299091.35399999999</v>
      </c>
      <c r="G14" s="37">
        <v>307707.11</v>
      </c>
      <c r="H14" s="37">
        <v>313831.79499999998</v>
      </c>
      <c r="I14" s="37">
        <v>327045.78399999999</v>
      </c>
      <c r="J14" s="37">
        <v>332620.10700000002</v>
      </c>
      <c r="K14" s="37">
        <v>337032.84</v>
      </c>
      <c r="L14" s="37">
        <v>329407.826</v>
      </c>
      <c r="M14" s="37">
        <v>337179.14799999999</v>
      </c>
    </row>
    <row r="15" spans="1:13" x14ac:dyDescent="0.2">
      <c r="A15" t="s">
        <v>25</v>
      </c>
      <c r="B15" s="37">
        <v>167368.34400000001</v>
      </c>
      <c r="C15" s="37">
        <v>169302.128</v>
      </c>
      <c r="D15" s="37">
        <v>172201.375</v>
      </c>
      <c r="E15" s="37">
        <v>175567.45499999999</v>
      </c>
      <c r="F15" s="37">
        <v>183579.36300000001</v>
      </c>
      <c r="G15" s="37">
        <v>190940.78</v>
      </c>
      <c r="H15" s="37">
        <v>192383.22</v>
      </c>
      <c r="I15" s="37">
        <v>205111.22099999999</v>
      </c>
      <c r="J15" s="37">
        <v>210657.11600000001</v>
      </c>
      <c r="K15" s="37">
        <v>217702.027</v>
      </c>
      <c r="L15" s="37">
        <v>222570.92800000001</v>
      </c>
      <c r="M15" s="37">
        <v>227528.44099999999</v>
      </c>
    </row>
    <row r="16" spans="1:13" x14ac:dyDescent="0.2">
      <c r="A16" t="s">
        <v>27</v>
      </c>
      <c r="B16" s="37">
        <v>14959.93894</v>
      </c>
      <c r="C16" s="37">
        <v>14902.299843696575</v>
      </c>
      <c r="D16" s="37">
        <v>14766.277965869085</v>
      </c>
      <c r="E16" s="37">
        <v>14709.82994</v>
      </c>
      <c r="F16" s="37">
        <v>14829.846921117482</v>
      </c>
      <c r="G16" s="37">
        <v>14822.31241</v>
      </c>
      <c r="H16" s="37">
        <v>14268.35113747688</v>
      </c>
      <c r="I16" s="37">
        <v>12159.29955976599</v>
      </c>
      <c r="J16" s="37">
        <v>12113.171061219087</v>
      </c>
      <c r="K16" s="37">
        <v>12113.385700000001</v>
      </c>
      <c r="L16" s="37">
        <v>12068.613890000001</v>
      </c>
      <c r="M16" s="37">
        <v>12057.68327</v>
      </c>
    </row>
    <row r="17" spans="1:14" x14ac:dyDescent="0.2">
      <c r="A17" t="s">
        <v>3</v>
      </c>
      <c r="B17" s="37">
        <v>4671.6046999999999</v>
      </c>
      <c r="C17" s="37">
        <v>4630.9097957800004</v>
      </c>
      <c r="D17" s="37">
        <v>4878.5723074299995</v>
      </c>
      <c r="E17" s="37">
        <v>4813.3703099999993</v>
      </c>
      <c r="F17" s="37">
        <v>4797.4121083700011</v>
      </c>
      <c r="G17" s="37">
        <v>4815.8501100000003</v>
      </c>
      <c r="H17" s="37">
        <v>4764.7445599999992</v>
      </c>
      <c r="I17" s="37">
        <v>4661.2957100000003</v>
      </c>
      <c r="J17" s="37">
        <v>4662.4246404500009</v>
      </c>
      <c r="K17" s="37">
        <v>4765.3232500000004</v>
      </c>
      <c r="L17" s="37">
        <v>4647.4628129300008</v>
      </c>
      <c r="M17" s="37">
        <v>4516.1239699999996</v>
      </c>
      <c r="N17" s="37"/>
    </row>
    <row r="18" spans="1:14" x14ac:dyDescent="0.2">
      <c r="A18" t="s">
        <v>4</v>
      </c>
      <c r="B18" s="37">
        <v>30341.585999999999</v>
      </c>
      <c r="C18" s="37">
        <v>30710.6</v>
      </c>
      <c r="D18" s="37">
        <v>29916.317999999999</v>
      </c>
      <c r="E18" s="37">
        <v>28968.282999999999</v>
      </c>
      <c r="F18" s="37">
        <v>27759.863000000001</v>
      </c>
      <c r="G18" s="37">
        <v>27617.940999999999</v>
      </c>
      <c r="H18" s="37">
        <v>27138.181</v>
      </c>
      <c r="I18" s="37">
        <v>27134.396000000001</v>
      </c>
      <c r="J18" s="37">
        <v>26519.792000000001</v>
      </c>
      <c r="K18" s="37">
        <v>25691.489000000001</v>
      </c>
      <c r="L18" s="37">
        <v>26066.316999999999</v>
      </c>
      <c r="M18" s="37">
        <v>25838.142</v>
      </c>
    </row>
    <row r="19" spans="1:14" x14ac:dyDescent="0.2">
      <c r="B19" s="45"/>
      <c r="C19" s="45"/>
      <c r="D19" s="45"/>
      <c r="E19" s="45"/>
      <c r="F19" s="45"/>
      <c r="G19" s="45"/>
      <c r="H19" s="45"/>
      <c r="I19" s="45"/>
      <c r="J19" s="45"/>
      <c r="K19" s="45"/>
      <c r="L19" s="45"/>
      <c r="M19" s="45"/>
    </row>
    <row r="20" spans="1:14" ht="13.5" thickBot="1" x14ac:dyDescent="0.25">
      <c r="A20" s="2" t="s">
        <v>11</v>
      </c>
      <c r="B20" s="48">
        <f t="shared" ref="B20:H20" si="1">SUM(B21:B24)</f>
        <v>131143.67288021528</v>
      </c>
      <c r="C20" s="48">
        <f t="shared" si="1"/>
        <v>133599.52943241227</v>
      </c>
      <c r="D20" s="48">
        <f t="shared" si="1"/>
        <v>130450.1303907788</v>
      </c>
      <c r="E20" s="48">
        <f t="shared" si="1"/>
        <v>122247.88271216929</v>
      </c>
      <c r="F20" s="48">
        <f t="shared" si="1"/>
        <v>114057.93964873238</v>
      </c>
      <c r="G20" s="48">
        <f t="shared" si="1"/>
        <v>112728.04782834162</v>
      </c>
      <c r="H20" s="48">
        <f t="shared" si="1"/>
        <v>107201.01561917101</v>
      </c>
      <c r="I20" s="48">
        <f>SUM(I21:I24)</f>
        <v>108968.05414607991</v>
      </c>
      <c r="J20" s="48">
        <f>SUM(J21:J24)</f>
        <v>103041.92094696808</v>
      </c>
      <c r="K20" s="48">
        <f>SUM(K21:K24)</f>
        <v>101615.14930412573</v>
      </c>
      <c r="L20" s="48">
        <f>SUM(L21:L24)</f>
        <v>101976.23618589374</v>
      </c>
      <c r="M20" s="48">
        <f>SUM(M21:M24)</f>
        <v>98974.38509203952</v>
      </c>
    </row>
    <row r="21" spans="1:14" x14ac:dyDescent="0.2">
      <c r="A21" t="s">
        <v>5</v>
      </c>
      <c r="B21" s="37">
        <v>100030.65425509303</v>
      </c>
      <c r="C21" s="37">
        <v>102037.12905033732</v>
      </c>
      <c r="D21" s="37">
        <v>100147.79996916557</v>
      </c>
      <c r="E21" s="37">
        <v>94004.845177308482</v>
      </c>
      <c r="F21" s="37">
        <v>88517.707105289024</v>
      </c>
      <c r="G21" s="37">
        <v>87535.564469912439</v>
      </c>
      <c r="H21" s="37">
        <v>83039.346125500349</v>
      </c>
      <c r="I21" s="37">
        <v>84541.554248745757</v>
      </c>
      <c r="J21" s="37">
        <v>80266.386762611233</v>
      </c>
      <c r="K21" s="37">
        <v>79552.579065285914</v>
      </c>
      <c r="L21" s="37">
        <v>80080.885086131384</v>
      </c>
      <c r="M21" s="37">
        <v>78904.675328878642</v>
      </c>
      <c r="N21" s="37"/>
    </row>
    <row r="22" spans="1:14" x14ac:dyDescent="0.2">
      <c r="A22" t="s">
        <v>6</v>
      </c>
      <c r="B22" s="37">
        <v>26066.707949099258</v>
      </c>
      <c r="C22" s="37">
        <v>26511.663210302046</v>
      </c>
      <c r="D22" s="37">
        <v>25463.294998602913</v>
      </c>
      <c r="E22" s="37">
        <v>23897.72645425973</v>
      </c>
      <c r="F22" s="37">
        <v>21550.35783783958</v>
      </c>
      <c r="G22" s="37">
        <v>21387.251331435022</v>
      </c>
      <c r="H22" s="37">
        <v>20487.618211479905</v>
      </c>
      <c r="I22" s="37">
        <v>20645.87088205152</v>
      </c>
      <c r="J22" s="37">
        <v>19224.266943839702</v>
      </c>
      <c r="K22" s="37">
        <v>18747.405683516794</v>
      </c>
      <c r="L22" s="37">
        <v>18534.123716401435</v>
      </c>
      <c r="M22" s="37">
        <v>16855.221200450196</v>
      </c>
    </row>
    <row r="23" spans="1:14" x14ac:dyDescent="0.2">
      <c r="A23" t="s">
        <v>7</v>
      </c>
      <c r="B23" s="37">
        <v>5046.3106760229757</v>
      </c>
      <c r="C23" s="37">
        <v>5050.7371717728956</v>
      </c>
      <c r="D23" s="37">
        <v>4839.0354230103048</v>
      </c>
      <c r="E23" s="37">
        <v>4345.3110806010745</v>
      </c>
      <c r="F23" s="37">
        <v>3989.8747056037801</v>
      </c>
      <c r="G23" s="37">
        <v>3805.2320269941597</v>
      </c>
      <c r="H23" s="37">
        <v>3674.0512821907564</v>
      </c>
      <c r="I23" s="37">
        <v>3780.6290152826418</v>
      </c>
      <c r="J23" s="37">
        <v>3551.2672405171406</v>
      </c>
      <c r="K23" s="37">
        <v>3315.1645553230401</v>
      </c>
      <c r="L23" s="37">
        <v>3361.2273833609252</v>
      </c>
      <c r="M23" s="37">
        <v>3214.4885627106851</v>
      </c>
    </row>
    <row r="24" spans="1:14" x14ac:dyDescent="0.2">
      <c r="A24" t="s">
        <v>8</v>
      </c>
      <c r="B24" s="50">
        <v>0</v>
      </c>
      <c r="C24" s="50">
        <v>0</v>
      </c>
      <c r="D24" s="50">
        <v>0</v>
      </c>
      <c r="E24" s="50">
        <v>0</v>
      </c>
      <c r="F24" s="50">
        <v>0</v>
      </c>
      <c r="G24" s="50">
        <v>0</v>
      </c>
      <c r="H24" s="50">
        <v>0</v>
      </c>
      <c r="I24" s="50">
        <v>0</v>
      </c>
      <c r="J24" s="50">
        <v>0</v>
      </c>
      <c r="K24" s="50">
        <v>0</v>
      </c>
      <c r="L24" s="50">
        <v>0</v>
      </c>
      <c r="M24" s="50">
        <v>0</v>
      </c>
    </row>
    <row r="25" spans="1:14" ht="13.5" thickBot="1" x14ac:dyDescent="0.25">
      <c r="A25" s="6"/>
      <c r="B25" s="46"/>
      <c r="C25" s="46"/>
      <c r="D25" s="46"/>
      <c r="E25" s="46"/>
      <c r="F25" s="46"/>
      <c r="G25" s="46"/>
      <c r="H25" s="46"/>
      <c r="I25" s="46"/>
      <c r="J25" s="46"/>
      <c r="K25" s="46"/>
      <c r="L25" s="46"/>
      <c r="M25" s="46"/>
    </row>
    <row r="26" spans="1:14" x14ac:dyDescent="0.2">
      <c r="A26" s="1" t="s">
        <v>9</v>
      </c>
      <c r="B26" s="49">
        <f t="shared" ref="B26:G26" si="2">B9+B20</f>
        <v>1363124.3985202152</v>
      </c>
      <c r="C26" s="49">
        <f t="shared" si="2"/>
        <v>1392368.7150718889</v>
      </c>
      <c r="D26" s="49">
        <f t="shared" si="2"/>
        <v>1408909.2816640779</v>
      </c>
      <c r="E26" s="49">
        <f t="shared" si="2"/>
        <v>1395651.3849621695</v>
      </c>
      <c r="F26" s="49">
        <f t="shared" si="2"/>
        <v>1400847.5376782196</v>
      </c>
      <c r="G26" s="49">
        <f t="shared" si="2"/>
        <v>1446504.3033483417</v>
      </c>
      <c r="H26" s="49">
        <f t="shared" ref="H26:M26" si="3">H9+H20</f>
        <v>1469405.3683166481</v>
      </c>
      <c r="I26" s="49">
        <f t="shared" si="3"/>
        <v>1522447.0664158456</v>
      </c>
      <c r="J26" s="49">
        <f t="shared" si="3"/>
        <v>1502356.8886486369</v>
      </c>
      <c r="K26" s="49">
        <f t="shared" si="3"/>
        <v>1484700.7382541257</v>
      </c>
      <c r="L26" s="49">
        <f t="shared" si="3"/>
        <v>1504917.8518888238</v>
      </c>
      <c r="M26" s="49">
        <f t="shared" si="3"/>
        <v>1509852.3623320395</v>
      </c>
    </row>
    <row r="27" spans="1:14" x14ac:dyDescent="0.2">
      <c r="A27" s="20"/>
      <c r="B27" s="20"/>
      <c r="C27" s="20"/>
      <c r="D27" s="20"/>
      <c r="E27" s="20"/>
      <c r="F27" s="20"/>
      <c r="G27" s="20"/>
      <c r="H27" s="20"/>
      <c r="I27" s="20"/>
      <c r="J27" s="20"/>
      <c r="K27" s="20"/>
      <c r="L27" s="20"/>
      <c r="M27" s="20"/>
    </row>
    <row r="28" spans="1:14" ht="61.5" customHeight="1" x14ac:dyDescent="0.2">
      <c r="A28" s="95" t="s">
        <v>28</v>
      </c>
      <c r="B28" s="95"/>
      <c r="C28" s="95"/>
      <c r="D28" s="95"/>
      <c r="E28" s="95"/>
      <c r="F28" s="95"/>
      <c r="G28" s="95"/>
    </row>
    <row r="29" spans="1:14" x14ac:dyDescent="0.2">
      <c r="A29" s="95" t="s">
        <v>29</v>
      </c>
      <c r="B29" s="95"/>
      <c r="C29" s="95"/>
      <c r="D29" s="95"/>
      <c r="E29" s="95"/>
      <c r="F29" s="95"/>
      <c r="G29" s="95"/>
    </row>
    <row r="30" spans="1:14" x14ac:dyDescent="0.2">
      <c r="A30" s="7"/>
    </row>
  </sheetData>
  <mergeCells count="2">
    <mergeCell ref="A28:G28"/>
    <mergeCell ref="A29:G29"/>
  </mergeCells>
  <phoneticPr fontId="0" type="noConversion"/>
  <pageMargins left="0.78740157499999996" right="0.78740157499999996" top="0.984251969" bottom="0.984251969" header="0.49212598499999999" footer="0.49212598499999999"/>
  <pageSetup paperSize="9" scale="8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30"/>
  <sheetViews>
    <sheetView workbookViewId="0">
      <pane xSplit="1" topLeftCell="E1" activePane="topRight" state="frozen"/>
      <selection activeCell="E1" sqref="E1:G2"/>
      <selection pane="topRight" activeCell="M9" sqref="M9"/>
    </sheetView>
  </sheetViews>
  <sheetFormatPr defaultRowHeight="12.75" x14ac:dyDescent="0.2"/>
  <cols>
    <col min="1" max="1" width="41.85546875" customWidth="1"/>
    <col min="2" max="3" width="16.85546875" customWidth="1"/>
    <col min="4" max="4" width="13.85546875" bestFit="1" customWidth="1"/>
    <col min="5" max="5" width="16.42578125" bestFit="1" customWidth="1"/>
    <col min="6" max="9" width="13.85546875" bestFit="1" customWidth="1"/>
    <col min="10" max="13" width="16.42578125" bestFit="1" customWidth="1"/>
    <col min="14" max="14" width="9.28515625" bestFit="1" customWidth="1"/>
  </cols>
  <sheetData>
    <row r="1" spans="1:13" ht="26.25" x14ac:dyDescent="0.4">
      <c r="A1" s="13" t="s">
        <v>20</v>
      </c>
      <c r="B1" s="14" t="s">
        <v>18</v>
      </c>
      <c r="C1" s="14"/>
      <c r="D1" s="15"/>
    </row>
    <row r="2" spans="1:13" x14ac:dyDescent="0.2">
      <c r="A2" s="14"/>
      <c r="B2" s="15"/>
      <c r="C2" s="15"/>
      <c r="D2" s="15"/>
    </row>
    <row r="3" spans="1:13" x14ac:dyDescent="0.2">
      <c r="A3" s="17" t="s">
        <v>21</v>
      </c>
    </row>
    <row r="4" spans="1:13" x14ac:dyDescent="0.2">
      <c r="A4" s="17" t="s">
        <v>22</v>
      </c>
    </row>
    <row r="6" spans="1:13" x14ac:dyDescent="0.2">
      <c r="A6" s="1" t="s">
        <v>16</v>
      </c>
      <c r="I6" s="3"/>
      <c r="J6" s="3"/>
      <c r="K6" s="3"/>
      <c r="L6" s="3"/>
      <c r="M6" s="3"/>
    </row>
    <row r="7" spans="1:13" x14ac:dyDescent="0.2">
      <c r="A7" s="1" t="s">
        <v>23</v>
      </c>
    </row>
    <row r="8" spans="1:13" ht="13.5" thickBot="1" x14ac:dyDescent="0.25">
      <c r="B8" s="21">
        <v>40179</v>
      </c>
      <c r="C8" s="21">
        <v>40210</v>
      </c>
      <c r="D8" s="21">
        <v>40238</v>
      </c>
      <c r="E8" s="21">
        <v>40269</v>
      </c>
      <c r="F8" s="21">
        <v>40299</v>
      </c>
      <c r="G8" s="21">
        <v>40330</v>
      </c>
      <c r="H8" s="21">
        <v>40360</v>
      </c>
      <c r="I8" s="21">
        <v>40391</v>
      </c>
      <c r="J8" s="21">
        <v>40422</v>
      </c>
      <c r="K8" s="21">
        <v>40452</v>
      </c>
      <c r="L8" s="21">
        <v>40483</v>
      </c>
      <c r="M8" s="21">
        <v>40513</v>
      </c>
    </row>
    <row r="9" spans="1:13" ht="13.5" thickBot="1" x14ac:dyDescent="0.25">
      <c r="A9" s="19" t="s">
        <v>10</v>
      </c>
      <c r="B9" s="47">
        <f t="shared" ref="B9:G9" si="0">SUM(B10:B18)</f>
        <v>1369660.4425499998</v>
      </c>
      <c r="C9" s="47">
        <f t="shared" si="0"/>
        <v>1412730.2128600001</v>
      </c>
      <c r="D9" s="47">
        <f t="shared" si="0"/>
        <v>1414537.7760300001</v>
      </c>
      <c r="E9" s="47">
        <f t="shared" si="0"/>
        <v>1508382.1853499999</v>
      </c>
      <c r="F9" s="47">
        <f t="shared" si="0"/>
        <v>1536532.5459399999</v>
      </c>
      <c r="G9" s="47">
        <f t="shared" si="0"/>
        <v>1530414.7237900002</v>
      </c>
      <c r="H9" s="47">
        <f t="shared" ref="H9:M9" si="1">SUM(H10:H18)</f>
        <v>1523388.4544177987</v>
      </c>
      <c r="I9" s="47">
        <f t="shared" si="1"/>
        <v>1540861.9750654341</v>
      </c>
      <c r="J9" s="47">
        <f t="shared" si="1"/>
        <v>1551482.9801250054</v>
      </c>
      <c r="K9" s="47">
        <f t="shared" si="1"/>
        <v>1570194.8507600001</v>
      </c>
      <c r="L9" s="47">
        <f t="shared" si="1"/>
        <v>1593402.8507999999</v>
      </c>
      <c r="M9" s="47">
        <f t="shared" si="1"/>
        <v>1620486.8938799999</v>
      </c>
    </row>
    <row r="10" spans="1:13" x14ac:dyDescent="0.2">
      <c r="A10" t="s">
        <v>0</v>
      </c>
      <c r="B10" s="37">
        <v>214889.99600000001</v>
      </c>
      <c r="C10" s="37">
        <v>229665.7</v>
      </c>
      <c r="D10" s="37">
        <v>241223.39</v>
      </c>
      <c r="E10" s="37">
        <v>272408.20799999998</v>
      </c>
      <c r="F10" s="37">
        <v>282554.56300000002</v>
      </c>
      <c r="G10" s="37">
        <v>299267.88199999998</v>
      </c>
      <c r="H10" s="51">
        <v>296166.96500000003</v>
      </c>
      <c r="I10" s="51">
        <v>318301.92210674006</v>
      </c>
      <c r="J10" s="51">
        <v>336939.91389025003</v>
      </c>
      <c r="K10" s="51">
        <v>323895.99</v>
      </c>
      <c r="L10" s="51">
        <v>338698.08899999998</v>
      </c>
      <c r="M10" s="51">
        <v>354704.027</v>
      </c>
    </row>
    <row r="11" spans="1:13" x14ac:dyDescent="0.2">
      <c r="A11" t="s">
        <v>19</v>
      </c>
      <c r="B11" s="37">
        <v>513724.565</v>
      </c>
      <c r="C11" s="37">
        <v>522995.804</v>
      </c>
      <c r="D11" s="37">
        <v>497106.69199999998</v>
      </c>
      <c r="E11" s="37">
        <v>533419.777</v>
      </c>
      <c r="F11" s="37">
        <v>539324.70499999996</v>
      </c>
      <c r="G11" s="37">
        <v>505904.23300000001</v>
      </c>
      <c r="H11" s="51">
        <v>513656.76899999997</v>
      </c>
      <c r="I11" s="51">
        <v>520530.57297382009</v>
      </c>
      <c r="J11" s="51">
        <v>499630.63159745</v>
      </c>
      <c r="K11" s="51">
        <v>514526.22</v>
      </c>
      <c r="L11" s="51">
        <v>518133.89199999999</v>
      </c>
      <c r="M11" s="51">
        <v>518872.62699999998</v>
      </c>
    </row>
    <row r="12" spans="1:13" x14ac:dyDescent="0.2">
      <c r="A12" t="s">
        <v>1</v>
      </c>
      <c r="B12" s="37">
        <v>58274.483999999997</v>
      </c>
      <c r="C12" s="37">
        <v>59415.468999999997</v>
      </c>
      <c r="D12" s="37">
        <v>60100.201999999997</v>
      </c>
      <c r="E12" s="37">
        <v>60537.955999999998</v>
      </c>
      <c r="F12" s="37">
        <v>61732.802000000003</v>
      </c>
      <c r="G12" s="37">
        <v>62741.453000000001</v>
      </c>
      <c r="H12" s="51">
        <v>61265.555</v>
      </c>
      <c r="I12" s="51">
        <v>62215.70196233</v>
      </c>
      <c r="J12" s="51">
        <v>63266.875958999997</v>
      </c>
      <c r="K12" s="51">
        <v>63878.892999999996</v>
      </c>
      <c r="L12" s="51">
        <v>65305.989000000001</v>
      </c>
      <c r="M12" s="51">
        <v>66269.364000000001</v>
      </c>
    </row>
    <row r="13" spans="1:13" x14ac:dyDescent="0.2">
      <c r="A13" t="s">
        <v>2</v>
      </c>
      <c r="B13" s="44">
        <v>0</v>
      </c>
      <c r="C13" s="44">
        <v>0</v>
      </c>
      <c r="D13" s="44">
        <v>0</v>
      </c>
      <c r="E13" s="44">
        <v>0</v>
      </c>
      <c r="F13" s="44">
        <v>0</v>
      </c>
      <c r="G13" s="44">
        <v>0</v>
      </c>
      <c r="H13" s="52">
        <v>0</v>
      </c>
      <c r="I13" s="52">
        <v>0</v>
      </c>
      <c r="J13" s="52">
        <v>0</v>
      </c>
      <c r="K13" s="52">
        <v>0</v>
      </c>
      <c r="L13" s="52">
        <v>0</v>
      </c>
      <c r="M13" s="52">
        <v>0</v>
      </c>
    </row>
    <row r="14" spans="1:13" x14ac:dyDescent="0.2">
      <c r="A14" t="s">
        <v>24</v>
      </c>
      <c r="B14" s="37">
        <v>349685.38699999999</v>
      </c>
      <c r="C14" s="37">
        <v>360315.739</v>
      </c>
      <c r="D14" s="37">
        <v>369323.342</v>
      </c>
      <c r="E14" s="37">
        <v>376715.95899999997</v>
      </c>
      <c r="F14" s="37">
        <v>377568.53899999999</v>
      </c>
      <c r="G14" s="37">
        <v>381155.22499999998</v>
      </c>
      <c r="H14" s="51">
        <v>387101.99</v>
      </c>
      <c r="I14" s="51">
        <v>362971.97721528</v>
      </c>
      <c r="J14" s="51">
        <v>367536.21015369991</v>
      </c>
      <c r="K14" s="51">
        <v>376039.84</v>
      </c>
      <c r="L14" s="51">
        <v>377452.50699999998</v>
      </c>
      <c r="M14" s="51">
        <v>384629.995</v>
      </c>
    </row>
    <row r="15" spans="1:13" x14ac:dyDescent="0.2">
      <c r="A15" t="s">
        <v>25</v>
      </c>
      <c r="B15" s="37">
        <v>190411.9</v>
      </c>
      <c r="C15" s="37">
        <v>198105.04800000001</v>
      </c>
      <c r="D15" s="37">
        <v>204727.851</v>
      </c>
      <c r="E15" s="37">
        <v>224273.11799999999</v>
      </c>
      <c r="F15" s="37">
        <v>233825.13500000001</v>
      </c>
      <c r="G15" s="37">
        <v>240042.391</v>
      </c>
      <c r="H15" s="51">
        <v>223879.43700000001</v>
      </c>
      <c r="I15" s="51">
        <v>236544.15876425002</v>
      </c>
      <c r="J15" s="51">
        <v>244137.56680187999</v>
      </c>
      <c r="K15" s="51">
        <v>251792.62400000001</v>
      </c>
      <c r="L15" s="51">
        <v>254921.489</v>
      </c>
      <c r="M15" s="51">
        <v>257828.61900000001</v>
      </c>
    </row>
    <row r="16" spans="1:13" x14ac:dyDescent="0.2">
      <c r="A16" t="s">
        <v>27</v>
      </c>
      <c r="B16" s="37">
        <v>11944.97372</v>
      </c>
      <c r="C16" s="37">
        <v>11896.13421</v>
      </c>
      <c r="D16" s="37">
        <v>11856.281499999999</v>
      </c>
      <c r="E16" s="37">
        <v>11305.97762</v>
      </c>
      <c r="F16" s="37">
        <v>11294.35499</v>
      </c>
      <c r="G16" s="37">
        <v>11254.17295</v>
      </c>
      <c r="H16" s="51">
        <v>11322.124427798681</v>
      </c>
      <c r="I16" s="51">
        <v>10289.088527130289</v>
      </c>
      <c r="J16" s="51">
        <v>10276.803832940785</v>
      </c>
      <c r="K16" s="51">
        <v>10624.05219</v>
      </c>
      <c r="L16" s="51">
        <v>9433.8167699999995</v>
      </c>
      <c r="M16" s="51">
        <v>9097.2219399999994</v>
      </c>
    </row>
    <row r="17" spans="1:13" x14ac:dyDescent="0.2">
      <c r="A17" t="s">
        <v>3</v>
      </c>
      <c r="B17" s="37">
        <v>4462.3128299999998</v>
      </c>
      <c r="C17" s="37">
        <v>4418.5746500000005</v>
      </c>
      <c r="D17" s="37">
        <v>4514.0045300000002</v>
      </c>
      <c r="E17" s="37">
        <v>4437.7087300000003</v>
      </c>
      <c r="F17" s="37">
        <v>4481.8549499999999</v>
      </c>
      <c r="G17" s="37">
        <v>4407.8168399999995</v>
      </c>
      <c r="H17" s="51">
        <v>4550.3759900000005</v>
      </c>
      <c r="I17" s="51">
        <v>4491.5763341300008</v>
      </c>
      <c r="J17" s="51">
        <v>4419.5420381800004</v>
      </c>
      <c r="K17" s="51">
        <v>4323.8175700000002</v>
      </c>
      <c r="L17" s="51">
        <v>4241.9650300000003</v>
      </c>
      <c r="M17" s="51">
        <v>4124.8039399999998</v>
      </c>
    </row>
    <row r="18" spans="1:13" x14ac:dyDescent="0.2">
      <c r="A18" t="s">
        <v>4</v>
      </c>
      <c r="B18" s="37">
        <v>26266.824000000001</v>
      </c>
      <c r="C18" s="37">
        <v>25917.743999999999</v>
      </c>
      <c r="D18" s="37">
        <v>25686.012999999999</v>
      </c>
      <c r="E18" s="37">
        <v>25283.481</v>
      </c>
      <c r="F18" s="37">
        <v>25750.592000000001</v>
      </c>
      <c r="G18" s="37">
        <v>25641.55</v>
      </c>
      <c r="H18" s="51">
        <v>25445.238000000001</v>
      </c>
      <c r="I18" s="51">
        <v>25516.977181753664</v>
      </c>
      <c r="J18" s="51">
        <v>25275.435851604645</v>
      </c>
      <c r="K18" s="51">
        <v>25113.414000000001</v>
      </c>
      <c r="L18" s="51">
        <v>25215.102999999999</v>
      </c>
      <c r="M18" s="51">
        <v>24960.236000000001</v>
      </c>
    </row>
    <row r="19" spans="1:13" x14ac:dyDescent="0.2">
      <c r="B19" s="45"/>
      <c r="C19" s="45"/>
      <c r="D19" s="45"/>
      <c r="E19" s="45"/>
      <c r="F19" s="45"/>
      <c r="G19" s="45"/>
      <c r="H19" s="45"/>
      <c r="I19" s="45"/>
      <c r="J19" s="45"/>
      <c r="K19" s="45"/>
      <c r="L19" s="45"/>
      <c r="M19" s="45"/>
    </row>
    <row r="20" spans="1:13" ht="13.5" thickBot="1" x14ac:dyDescent="0.25">
      <c r="A20" s="2" t="s">
        <v>11</v>
      </c>
      <c r="B20" s="48">
        <f t="shared" ref="B20:G20" si="2">SUM(B21:B24)</f>
        <v>103663.85168580926</v>
      </c>
      <c r="C20" s="48">
        <f t="shared" si="2"/>
        <v>98980.268122042777</v>
      </c>
      <c r="D20" s="48">
        <f t="shared" si="2"/>
        <v>96305.106629319111</v>
      </c>
      <c r="E20" s="48">
        <f t="shared" si="2"/>
        <v>94346.414114213549</v>
      </c>
      <c r="F20" s="48">
        <f t="shared" si="2"/>
        <v>97134.000600544168</v>
      </c>
      <c r="G20" s="48">
        <f t="shared" si="2"/>
        <v>98156.851510042601</v>
      </c>
      <c r="H20" s="48">
        <f t="shared" ref="H20:M20" si="3">SUM(H21:H24)</f>
        <v>94436.421409324961</v>
      </c>
      <c r="I20" s="48">
        <f t="shared" si="3"/>
        <v>95641.777708803347</v>
      </c>
      <c r="J20" s="48">
        <f t="shared" si="3"/>
        <v>93757.79334670087</v>
      </c>
      <c r="K20" s="48">
        <f t="shared" si="3"/>
        <v>94055.439228248404</v>
      </c>
      <c r="L20" s="48">
        <f t="shared" si="3"/>
        <v>93194.283013917273</v>
      </c>
      <c r="M20" s="48">
        <f t="shared" si="3"/>
        <v>91578.107166158996</v>
      </c>
    </row>
    <row r="21" spans="1:13" x14ac:dyDescent="0.2">
      <c r="A21" t="s">
        <v>5</v>
      </c>
      <c r="B21" s="37">
        <v>82121.955278736481</v>
      </c>
      <c r="C21" s="37">
        <v>78251.677172699579</v>
      </c>
      <c r="D21" s="37">
        <v>76200.499900210518</v>
      </c>
      <c r="E21" s="37">
        <v>75101.345680048573</v>
      </c>
      <c r="F21" s="37">
        <v>77291.878145365466</v>
      </c>
      <c r="G21" s="37">
        <v>77080.257290120804</v>
      </c>
      <c r="H21" s="37">
        <v>73874.374635662738</v>
      </c>
      <c r="I21" s="37">
        <v>75148.117473891791</v>
      </c>
      <c r="J21" s="37">
        <v>74084.993457804972</v>
      </c>
      <c r="K21" s="37">
        <v>74455.82646828056</v>
      </c>
      <c r="L21" s="37">
        <v>73788.640185471202</v>
      </c>
      <c r="M21" s="37">
        <v>70875.118943913432</v>
      </c>
    </row>
    <row r="22" spans="1:13" x14ac:dyDescent="0.2">
      <c r="A22" t="s">
        <v>6</v>
      </c>
      <c r="B22" s="37">
        <v>17963.37627623793</v>
      </c>
      <c r="C22" s="37">
        <v>17278.099659633652</v>
      </c>
      <c r="D22" s="37">
        <v>16802.446512949107</v>
      </c>
      <c r="E22" s="37">
        <v>16202.165759032581</v>
      </c>
      <c r="F22" s="37">
        <v>16650.687879444908</v>
      </c>
      <c r="G22" s="37">
        <v>17952.188373466757</v>
      </c>
      <c r="H22" s="37">
        <v>17503.260295155</v>
      </c>
      <c r="I22" s="37">
        <v>17431.185505172078</v>
      </c>
      <c r="J22" s="37">
        <v>16750.367285468696</v>
      </c>
      <c r="K22" s="37">
        <v>16765.878938429531</v>
      </c>
      <c r="L22" s="37">
        <v>16608.117707595258</v>
      </c>
      <c r="M22" s="37">
        <v>16870.328337611289</v>
      </c>
    </row>
    <row r="23" spans="1:13" x14ac:dyDescent="0.2">
      <c r="A23" t="s">
        <v>7</v>
      </c>
      <c r="B23" s="37">
        <v>3578.5201308348442</v>
      </c>
      <c r="C23" s="37">
        <v>3450.4912897095501</v>
      </c>
      <c r="D23" s="37">
        <v>3302.1602161594788</v>
      </c>
      <c r="E23" s="37">
        <v>3042.9026751323963</v>
      </c>
      <c r="F23" s="37">
        <v>3191.4345757338019</v>
      </c>
      <c r="G23" s="37">
        <v>3124.4058464550303</v>
      </c>
      <c r="H23" s="37">
        <v>3058.7864785072288</v>
      </c>
      <c r="I23" s="37">
        <v>3062.4747297394797</v>
      </c>
      <c r="J23" s="37">
        <v>2922.4326034272149</v>
      </c>
      <c r="K23" s="37">
        <v>2833.7338215382993</v>
      </c>
      <c r="L23" s="37">
        <v>2797.5251208508112</v>
      </c>
      <c r="M23" s="37">
        <v>3832.6598846342749</v>
      </c>
    </row>
    <row r="24" spans="1:13" x14ac:dyDescent="0.2">
      <c r="A24" t="s">
        <v>8</v>
      </c>
      <c r="B24" s="50">
        <v>0</v>
      </c>
      <c r="C24" s="50">
        <v>0</v>
      </c>
      <c r="D24" s="50">
        <v>0</v>
      </c>
      <c r="E24" s="50">
        <v>0</v>
      </c>
      <c r="F24" s="50">
        <v>0</v>
      </c>
      <c r="G24" s="50">
        <v>0</v>
      </c>
      <c r="H24" s="50">
        <v>0</v>
      </c>
      <c r="I24" s="50">
        <v>0</v>
      </c>
      <c r="J24" s="50">
        <v>0</v>
      </c>
      <c r="K24" s="50">
        <v>0</v>
      </c>
      <c r="L24" s="50">
        <v>0</v>
      </c>
      <c r="M24" s="50">
        <v>0</v>
      </c>
    </row>
    <row r="25" spans="1:13" ht="13.5" thickBot="1" x14ac:dyDescent="0.25">
      <c r="A25" s="6"/>
      <c r="B25" s="46"/>
      <c r="C25" s="46"/>
      <c r="D25" s="46"/>
      <c r="E25" s="46"/>
      <c r="F25" s="46"/>
      <c r="G25" s="46"/>
      <c r="H25" s="46"/>
      <c r="I25" s="46"/>
      <c r="J25" s="46"/>
      <c r="K25" s="46"/>
      <c r="L25" s="46"/>
      <c r="M25" s="46"/>
    </row>
    <row r="26" spans="1:13" x14ac:dyDescent="0.2">
      <c r="A26" s="1" t="s">
        <v>9</v>
      </c>
      <c r="B26" s="49">
        <f t="shared" ref="B26:G26" si="4">B9+B20</f>
        <v>1473324.294235809</v>
      </c>
      <c r="C26" s="49">
        <f t="shared" si="4"/>
        <v>1511710.4809820428</v>
      </c>
      <c r="D26" s="49">
        <f t="shared" si="4"/>
        <v>1510842.8826593191</v>
      </c>
      <c r="E26" s="49">
        <f t="shared" si="4"/>
        <v>1602728.5994642135</v>
      </c>
      <c r="F26" s="49">
        <f t="shared" si="4"/>
        <v>1633666.5465405441</v>
      </c>
      <c r="G26" s="49">
        <f t="shared" si="4"/>
        <v>1628571.5753000428</v>
      </c>
      <c r="H26" s="49">
        <f t="shared" ref="H26:M26" si="5">H9+H20</f>
        <v>1617824.8758271236</v>
      </c>
      <c r="I26" s="49">
        <f t="shared" si="5"/>
        <v>1636503.7527742374</v>
      </c>
      <c r="J26" s="49">
        <f t="shared" si="5"/>
        <v>1645240.7734717063</v>
      </c>
      <c r="K26" s="49">
        <f t="shared" si="5"/>
        <v>1664250.2899882484</v>
      </c>
      <c r="L26" s="49">
        <f t="shared" si="5"/>
        <v>1686597.1338139172</v>
      </c>
      <c r="M26" s="49">
        <f t="shared" si="5"/>
        <v>1712065.0010461588</v>
      </c>
    </row>
    <row r="27" spans="1:13" x14ac:dyDescent="0.2">
      <c r="A27" s="20"/>
      <c r="B27" s="20"/>
      <c r="C27" s="20"/>
      <c r="D27" s="20"/>
      <c r="E27" s="20"/>
      <c r="F27" s="20"/>
      <c r="G27" s="20"/>
      <c r="H27" s="20"/>
      <c r="I27" s="20"/>
      <c r="J27" s="20"/>
      <c r="K27" s="20"/>
      <c r="L27" s="20"/>
      <c r="M27" s="20"/>
    </row>
    <row r="28" spans="1:13" ht="61.5" customHeight="1" x14ac:dyDescent="0.2">
      <c r="A28" s="95" t="s">
        <v>28</v>
      </c>
      <c r="B28" s="95"/>
      <c r="C28" s="95"/>
      <c r="D28" s="95"/>
      <c r="E28" s="95"/>
      <c r="F28" s="95"/>
      <c r="G28" s="95"/>
    </row>
    <row r="29" spans="1:13" x14ac:dyDescent="0.2">
      <c r="A29" s="95" t="s">
        <v>29</v>
      </c>
      <c r="B29" s="95"/>
      <c r="C29" s="95"/>
      <c r="D29" s="95"/>
      <c r="E29" s="95"/>
      <c r="F29" s="95"/>
      <c r="G29" s="95"/>
    </row>
    <row r="30" spans="1:13" x14ac:dyDescent="0.2">
      <c r="A30" s="7"/>
    </row>
  </sheetData>
  <mergeCells count="2">
    <mergeCell ref="A28:G28"/>
    <mergeCell ref="A29:G29"/>
  </mergeCells>
  <phoneticPr fontId="0" type="noConversion"/>
  <pageMargins left="0.78740157499999996" right="0.78740157499999996" top="0.984251969" bottom="0.984251969" header="0.49212598499999999" footer="0.49212598499999999"/>
  <pageSetup paperSize="9" scale="8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30"/>
  <sheetViews>
    <sheetView workbookViewId="0">
      <pane xSplit="1" topLeftCell="E1" activePane="topRight" state="frozen"/>
      <selection activeCell="E1" sqref="E1:G2"/>
      <selection pane="topRight" activeCell="A18" sqref="A18:IV18"/>
    </sheetView>
  </sheetViews>
  <sheetFormatPr defaultRowHeight="12.75" x14ac:dyDescent="0.2"/>
  <cols>
    <col min="1" max="1" width="41.85546875" customWidth="1"/>
    <col min="2" max="74" width="13.7109375" customWidth="1"/>
  </cols>
  <sheetData>
    <row r="1" spans="1:13" ht="26.25" x14ac:dyDescent="0.4">
      <c r="A1" s="13" t="s">
        <v>20</v>
      </c>
      <c r="B1" s="14" t="s">
        <v>18</v>
      </c>
      <c r="C1" s="14"/>
      <c r="D1" s="15"/>
    </row>
    <row r="2" spans="1:13" x14ac:dyDescent="0.2">
      <c r="A2" s="14"/>
      <c r="B2" s="15"/>
      <c r="C2" s="15"/>
      <c r="D2" s="15"/>
    </row>
    <row r="3" spans="1:13" x14ac:dyDescent="0.2">
      <c r="A3" s="17" t="s">
        <v>21</v>
      </c>
    </row>
    <row r="4" spans="1:13" x14ac:dyDescent="0.2">
      <c r="A4" s="17" t="s">
        <v>22</v>
      </c>
    </row>
    <row r="6" spans="1:13" x14ac:dyDescent="0.2">
      <c r="A6" s="1" t="s">
        <v>16</v>
      </c>
      <c r="I6" s="3"/>
      <c r="J6" s="3"/>
      <c r="K6" s="3"/>
      <c r="L6" s="3"/>
      <c r="M6" s="3"/>
    </row>
    <row r="7" spans="1:13" x14ac:dyDescent="0.2">
      <c r="A7" s="1" t="s">
        <v>23</v>
      </c>
    </row>
    <row r="8" spans="1:13" ht="13.5" thickBot="1" x14ac:dyDescent="0.25">
      <c r="B8" s="21">
        <v>40544</v>
      </c>
      <c r="C8" s="21">
        <v>40575</v>
      </c>
      <c r="D8" s="21">
        <v>40603</v>
      </c>
      <c r="E8" s="21">
        <v>40634</v>
      </c>
      <c r="F8" s="21">
        <v>40664</v>
      </c>
      <c r="G8" s="21">
        <v>40695</v>
      </c>
      <c r="H8" s="21">
        <v>40725</v>
      </c>
      <c r="I8" s="21">
        <v>40756</v>
      </c>
      <c r="J8" s="21">
        <v>40787</v>
      </c>
      <c r="K8" s="21">
        <v>40817</v>
      </c>
      <c r="L8" s="21">
        <v>40848</v>
      </c>
      <c r="M8" s="21">
        <v>40878</v>
      </c>
    </row>
    <row r="9" spans="1:13" ht="13.5" thickBot="1" x14ac:dyDescent="0.25">
      <c r="A9" s="19" t="s">
        <v>10</v>
      </c>
      <c r="B9" s="47">
        <f t="shared" ref="B9:G9" si="0">SUM(B10:B18)</f>
        <v>1559407.6989899999</v>
      </c>
      <c r="C9" s="47">
        <f t="shared" si="0"/>
        <v>1603116.1174499998</v>
      </c>
      <c r="D9" s="47">
        <f t="shared" si="0"/>
        <v>1628799.42463</v>
      </c>
      <c r="E9" s="47">
        <f t="shared" si="0"/>
        <v>1671106.3358199999</v>
      </c>
      <c r="F9" s="47">
        <f t="shared" si="0"/>
        <v>1682259.3931799997</v>
      </c>
      <c r="G9" s="47">
        <f t="shared" si="0"/>
        <v>1746235.9309399999</v>
      </c>
      <c r="H9" s="47">
        <f t="shared" ref="H9:M9" si="1">SUM(H10:H18)</f>
        <v>1676238.9538200002</v>
      </c>
      <c r="I9" s="47">
        <f t="shared" si="1"/>
        <v>1709414.0338399999</v>
      </c>
      <c r="J9" s="47">
        <f t="shared" si="1"/>
        <v>1740775.7693999999</v>
      </c>
      <c r="K9" s="47">
        <f t="shared" si="1"/>
        <v>1750373.7833799999</v>
      </c>
      <c r="L9" s="47">
        <f t="shared" si="1"/>
        <v>1770914.36913</v>
      </c>
      <c r="M9" s="47">
        <f t="shared" si="1"/>
        <v>1801084.4593200001</v>
      </c>
    </row>
    <row r="10" spans="1:13" x14ac:dyDescent="0.2">
      <c r="A10" t="s">
        <v>0</v>
      </c>
      <c r="B10" s="37">
        <v>291505.27799999999</v>
      </c>
      <c r="C10" s="37">
        <v>309099.61300000001</v>
      </c>
      <c r="D10" s="37">
        <v>328707.18300000002</v>
      </c>
      <c r="E10" s="37">
        <v>341532.07400000002</v>
      </c>
      <c r="F10" s="37">
        <v>368275.87300000002</v>
      </c>
      <c r="G10" s="37">
        <v>415999.826</v>
      </c>
      <c r="H10" s="37">
        <v>333913.45500000002</v>
      </c>
      <c r="I10" s="37">
        <v>347584.83399999997</v>
      </c>
      <c r="J10" s="37">
        <v>365493.72</v>
      </c>
      <c r="K10" s="37">
        <v>357945.766</v>
      </c>
      <c r="L10" s="37">
        <v>381451.18199999997</v>
      </c>
      <c r="M10" s="37">
        <v>402855.33899999998</v>
      </c>
    </row>
    <row r="11" spans="1:13" x14ac:dyDescent="0.2">
      <c r="A11" t="s">
        <v>19</v>
      </c>
      <c r="B11" s="37">
        <v>530243.72900000005</v>
      </c>
      <c r="C11" s="37">
        <v>541231.14899999998</v>
      </c>
      <c r="D11" s="37">
        <v>532340.05700000003</v>
      </c>
      <c r="E11" s="37">
        <v>541543.51300000004</v>
      </c>
      <c r="F11" s="37">
        <v>551203.46900000004</v>
      </c>
      <c r="G11" s="37">
        <v>542390.11399999994</v>
      </c>
      <c r="H11" s="37">
        <v>550024.85499999998</v>
      </c>
      <c r="I11" s="37">
        <v>557975.57499999995</v>
      </c>
      <c r="J11" s="37">
        <v>558208.804</v>
      </c>
      <c r="K11" s="37">
        <v>562804.14599999995</v>
      </c>
      <c r="L11" s="37">
        <v>562428.57900000003</v>
      </c>
      <c r="M11" s="37">
        <v>546428.31900000002</v>
      </c>
    </row>
    <row r="12" spans="1:13" x14ac:dyDescent="0.2">
      <c r="A12" t="s">
        <v>1</v>
      </c>
      <c r="B12" s="37">
        <v>65134.108999999997</v>
      </c>
      <c r="C12" s="37">
        <v>66277.838000000003</v>
      </c>
      <c r="D12" s="37">
        <v>62403.411</v>
      </c>
      <c r="E12" s="37">
        <v>62617.436999999998</v>
      </c>
      <c r="F12" s="37">
        <v>63381.385999999999</v>
      </c>
      <c r="G12" s="37">
        <v>63760.927000000003</v>
      </c>
      <c r="H12" s="37">
        <v>61962.103000000003</v>
      </c>
      <c r="I12" s="37">
        <v>62721.722999999998</v>
      </c>
      <c r="J12" s="37">
        <v>63050.714999999997</v>
      </c>
      <c r="K12" s="37">
        <v>63170.724999999999</v>
      </c>
      <c r="L12" s="37">
        <v>63720.036999999997</v>
      </c>
      <c r="M12" s="37">
        <v>63998.122000000003</v>
      </c>
    </row>
    <row r="13" spans="1:13" x14ac:dyDescent="0.2">
      <c r="A13" t="s">
        <v>2</v>
      </c>
      <c r="B13" s="44">
        <v>0</v>
      </c>
      <c r="C13" s="44">
        <v>0</v>
      </c>
      <c r="D13" s="44">
        <v>0</v>
      </c>
      <c r="E13" s="44">
        <v>0</v>
      </c>
      <c r="F13" s="44">
        <v>0</v>
      </c>
      <c r="G13" s="44">
        <v>0</v>
      </c>
      <c r="H13" s="44">
        <v>0</v>
      </c>
      <c r="I13" s="44">
        <v>0</v>
      </c>
      <c r="J13" s="44">
        <v>0</v>
      </c>
      <c r="K13" s="44">
        <v>0</v>
      </c>
      <c r="L13" s="44">
        <v>0</v>
      </c>
      <c r="M13" s="44">
        <v>0</v>
      </c>
    </row>
    <row r="14" spans="1:13" x14ac:dyDescent="0.2">
      <c r="A14" t="s">
        <v>24</v>
      </c>
      <c r="B14" s="37">
        <v>393655.033</v>
      </c>
      <c r="C14" s="37">
        <v>402464.22</v>
      </c>
      <c r="D14" s="37">
        <v>417814.17200000002</v>
      </c>
      <c r="E14" s="37">
        <v>433485.07699999999</v>
      </c>
      <c r="F14" s="37">
        <v>402717.60200000001</v>
      </c>
      <c r="G14" s="37">
        <v>423243.95299999998</v>
      </c>
      <c r="H14" s="37">
        <v>437347.06300000002</v>
      </c>
      <c r="I14" s="37">
        <v>443883.36099999998</v>
      </c>
      <c r="J14" s="37">
        <v>452851.75199999998</v>
      </c>
      <c r="K14" s="37">
        <v>463112.53700000001</v>
      </c>
      <c r="L14" s="37">
        <v>456005.462</v>
      </c>
      <c r="M14" s="37">
        <v>465900.73800000001</v>
      </c>
    </row>
    <row r="15" spans="1:13" x14ac:dyDescent="0.2">
      <c r="A15" t="s">
        <v>25</v>
      </c>
      <c r="B15" s="37">
        <v>240718.66899999999</v>
      </c>
      <c r="C15" s="37">
        <v>246020.755</v>
      </c>
      <c r="D15" s="37">
        <v>249653.158</v>
      </c>
      <c r="E15" s="37">
        <v>255185.217</v>
      </c>
      <c r="F15" s="37">
        <v>259268.16399999999</v>
      </c>
      <c r="G15" s="37">
        <v>264256.266</v>
      </c>
      <c r="H15" s="37">
        <v>257220.74400000001</v>
      </c>
      <c r="I15" s="37">
        <v>260318.32800000001</v>
      </c>
      <c r="J15" s="37">
        <v>264010.913</v>
      </c>
      <c r="K15" s="37">
        <v>267137.66700000002</v>
      </c>
      <c r="L15" s="37">
        <v>270631.86599999998</v>
      </c>
      <c r="M15" s="37">
        <v>283770.27299999999</v>
      </c>
    </row>
    <row r="16" spans="1:13" x14ac:dyDescent="0.2">
      <c r="A16" t="s">
        <v>27</v>
      </c>
      <c r="B16" s="37">
        <v>8980.1763200000005</v>
      </c>
      <c r="C16" s="37">
        <v>8947.7667899999997</v>
      </c>
      <c r="D16" s="37">
        <v>8986.9287299999996</v>
      </c>
      <c r="E16" s="37">
        <v>9030.7506699999994</v>
      </c>
      <c r="F16" s="37">
        <v>9673.7893399999994</v>
      </c>
      <c r="G16" s="37">
        <v>9063.4475999999995</v>
      </c>
      <c r="H16" s="37">
        <v>9032.8011900000001</v>
      </c>
      <c r="I16" s="37">
        <v>10086.412420000001</v>
      </c>
      <c r="J16" s="37">
        <v>8982.4659000000011</v>
      </c>
      <c r="K16" s="37">
        <v>9009.7965899999999</v>
      </c>
      <c r="L16" s="37">
        <v>8989.6413800000009</v>
      </c>
      <c r="M16" s="37">
        <v>9720.3214200000002</v>
      </c>
    </row>
    <row r="17" spans="1:14" x14ac:dyDescent="0.2">
      <c r="A17" t="s">
        <v>3</v>
      </c>
      <c r="B17" s="37">
        <v>4027.2036699999999</v>
      </c>
      <c r="C17" s="37">
        <v>3986.1306600000003</v>
      </c>
      <c r="D17" s="37">
        <v>3899.2258999999999</v>
      </c>
      <c r="E17" s="37">
        <v>3851.56315</v>
      </c>
      <c r="F17" s="37">
        <v>3873.4428399999997</v>
      </c>
      <c r="G17" s="37">
        <v>3939.92634</v>
      </c>
      <c r="H17" s="37">
        <v>3961.64363</v>
      </c>
      <c r="I17" s="37">
        <v>4029.61942</v>
      </c>
      <c r="J17" s="37">
        <v>3935.6748399999997</v>
      </c>
      <c r="K17" s="37">
        <v>3976.1667900000002</v>
      </c>
      <c r="L17" s="37">
        <v>3860.06765</v>
      </c>
      <c r="M17" s="37">
        <v>4008.2175000000002</v>
      </c>
      <c r="N17" s="51"/>
    </row>
    <row r="18" spans="1:14" x14ac:dyDescent="0.2">
      <c r="A18" t="s">
        <v>4</v>
      </c>
      <c r="B18" s="37">
        <v>25143.501</v>
      </c>
      <c r="C18" s="37">
        <v>25088.645</v>
      </c>
      <c r="D18" s="37">
        <v>24995.289000000001</v>
      </c>
      <c r="E18" s="37">
        <v>23860.704000000002</v>
      </c>
      <c r="F18" s="37">
        <v>23865.667000000001</v>
      </c>
      <c r="G18" s="37">
        <v>23581.471000000001</v>
      </c>
      <c r="H18" s="37">
        <v>22776.289000000001</v>
      </c>
      <c r="I18" s="37">
        <v>22814.181</v>
      </c>
      <c r="J18" s="37">
        <v>24241.72466</v>
      </c>
      <c r="K18" s="37">
        <v>23216.978999999999</v>
      </c>
      <c r="L18" s="37">
        <v>23827.534100000001</v>
      </c>
      <c r="M18" s="37">
        <v>24403.129399999998</v>
      </c>
    </row>
    <row r="19" spans="1:14" x14ac:dyDescent="0.2">
      <c r="B19" s="45"/>
      <c r="C19" s="45"/>
      <c r="D19" s="45"/>
      <c r="E19" s="45"/>
      <c r="F19" s="45"/>
      <c r="G19" s="45"/>
      <c r="H19" s="45"/>
      <c r="I19" s="45"/>
      <c r="J19" s="45"/>
      <c r="K19" s="45"/>
      <c r="L19" s="45"/>
      <c r="M19" s="45"/>
    </row>
    <row r="20" spans="1:14" ht="13.5" thickBot="1" x14ac:dyDescent="0.25">
      <c r="A20" s="2" t="s">
        <v>11</v>
      </c>
      <c r="B20" s="48">
        <f t="shared" ref="B20:G20" si="2">SUM(B21:B24)</f>
        <v>88220.20415070327</v>
      </c>
      <c r="C20" s="48">
        <f t="shared" si="2"/>
        <v>87505.574036805861</v>
      </c>
      <c r="D20" s="48">
        <f t="shared" si="2"/>
        <v>85129.794609050005</v>
      </c>
      <c r="E20" s="48">
        <f t="shared" si="2"/>
        <v>83129.580782100369</v>
      </c>
      <c r="F20" s="48">
        <f t="shared" si="2"/>
        <v>82601.765853601173</v>
      </c>
      <c r="G20" s="48">
        <f t="shared" si="2"/>
        <v>77470.608850877048</v>
      </c>
      <c r="H20" s="48">
        <f t="shared" ref="H20:M20" si="3">SUM(H21:H24)</f>
        <v>76056.673198795543</v>
      </c>
      <c r="I20" s="48">
        <f t="shared" si="3"/>
        <v>76884.505498264567</v>
      </c>
      <c r="J20" s="48">
        <f t="shared" si="3"/>
        <v>86496.865248291535</v>
      </c>
      <c r="K20" s="48">
        <f t="shared" si="3"/>
        <v>75435.600220898996</v>
      </c>
      <c r="L20" s="48">
        <f t="shared" si="3"/>
        <v>82424.703827896388</v>
      </c>
      <c r="M20" s="48">
        <f t="shared" si="3"/>
        <v>84847.794214780864</v>
      </c>
    </row>
    <row r="21" spans="1:14" x14ac:dyDescent="0.2">
      <c r="A21" t="s">
        <v>5</v>
      </c>
      <c r="B21" s="37">
        <v>67786.806822744416</v>
      </c>
      <c r="C21" s="37">
        <v>67405.813839418799</v>
      </c>
      <c r="D21" s="37">
        <v>65576.534132801404</v>
      </c>
      <c r="E21" s="37">
        <v>64141.365251887502</v>
      </c>
      <c r="F21" s="37">
        <v>63637.293059210526</v>
      </c>
      <c r="G21" s="37">
        <v>63364.50331470064</v>
      </c>
      <c r="H21" s="37">
        <v>62021.11961841266</v>
      </c>
      <c r="I21" s="37">
        <v>62474.796473652219</v>
      </c>
      <c r="J21" s="37">
        <v>69876.777881019254</v>
      </c>
      <c r="K21" s="37">
        <v>64998.459784307663</v>
      </c>
      <c r="L21" s="37">
        <v>70883.130516070072</v>
      </c>
      <c r="M21" s="37">
        <v>73277.701300189306</v>
      </c>
    </row>
    <row r="22" spans="1:14" x14ac:dyDescent="0.2">
      <c r="A22" t="s">
        <v>6</v>
      </c>
      <c r="B22" s="37">
        <v>16848.507872305949</v>
      </c>
      <c r="C22" s="37">
        <v>16544.760244537301</v>
      </c>
      <c r="D22" s="37">
        <v>16083.697576328501</v>
      </c>
      <c r="E22" s="37">
        <v>15485.180730087999</v>
      </c>
      <c r="F22" s="37">
        <v>15393.361213429922</v>
      </c>
      <c r="G22" s="37">
        <v>10264.81874441019</v>
      </c>
      <c r="H22" s="37">
        <v>10166.834930983257</v>
      </c>
      <c r="I22" s="37">
        <v>10370.660895570943</v>
      </c>
      <c r="J22" s="37">
        <v>12046.901745997007</v>
      </c>
      <c r="K22" s="37">
        <v>6312.1301412344428</v>
      </c>
      <c r="L22" s="37">
        <v>6726.4227522069741</v>
      </c>
      <c r="M22" s="37">
        <v>6912.9823684605581</v>
      </c>
      <c r="N22" s="53"/>
    </row>
    <row r="23" spans="1:14" x14ac:dyDescent="0.2">
      <c r="A23" t="s">
        <v>7</v>
      </c>
      <c r="B23" s="37">
        <v>3584.8894556529176</v>
      </c>
      <c r="C23" s="37">
        <v>3554.9999528497601</v>
      </c>
      <c r="D23" s="37">
        <v>3469.5628999200999</v>
      </c>
      <c r="E23" s="37">
        <v>3503.0348001248599</v>
      </c>
      <c r="F23" s="37">
        <v>3571.1115809607354</v>
      </c>
      <c r="G23" s="37">
        <v>3841.2867917662261</v>
      </c>
      <c r="H23" s="37">
        <v>3868.7186493996214</v>
      </c>
      <c r="I23" s="37">
        <v>4039.0481290414077</v>
      </c>
      <c r="J23" s="37">
        <v>4573.1856212752791</v>
      </c>
      <c r="K23" s="37">
        <v>4125.0102953568849</v>
      </c>
      <c r="L23" s="37">
        <v>4815.1505596193419</v>
      </c>
      <c r="M23" s="37">
        <v>4657.110546130988</v>
      </c>
    </row>
    <row r="24" spans="1:14" x14ac:dyDescent="0.2">
      <c r="A24" t="s">
        <v>8</v>
      </c>
      <c r="B24" s="50">
        <v>0</v>
      </c>
      <c r="C24" s="50">
        <v>0</v>
      </c>
      <c r="D24" s="50">
        <v>0</v>
      </c>
      <c r="E24" s="50">
        <v>0</v>
      </c>
      <c r="F24" s="50">
        <v>0</v>
      </c>
      <c r="G24" s="50">
        <v>0</v>
      </c>
      <c r="H24" s="50">
        <v>0</v>
      </c>
      <c r="I24" s="50">
        <v>0</v>
      </c>
      <c r="J24" s="50">
        <v>0</v>
      </c>
      <c r="K24" s="50">
        <v>0</v>
      </c>
      <c r="L24" s="50">
        <v>0</v>
      </c>
      <c r="M24" s="50">
        <v>0</v>
      </c>
    </row>
    <row r="25" spans="1:14" ht="13.5" thickBot="1" x14ac:dyDescent="0.25">
      <c r="A25" s="6"/>
      <c r="B25" s="46"/>
      <c r="C25" s="46"/>
      <c r="D25" s="46"/>
      <c r="E25" s="46"/>
      <c r="F25" s="46"/>
      <c r="G25" s="46"/>
      <c r="H25" s="46"/>
      <c r="I25" s="46"/>
      <c r="J25" s="46"/>
      <c r="K25" s="46"/>
      <c r="L25" s="46"/>
      <c r="M25" s="46"/>
    </row>
    <row r="26" spans="1:14" x14ac:dyDescent="0.2">
      <c r="A26" s="1" t="s">
        <v>9</v>
      </c>
      <c r="B26" s="49">
        <f t="shared" ref="B26:G26" si="4">B9+B20</f>
        <v>1647627.9031407032</v>
      </c>
      <c r="C26" s="49">
        <f t="shared" si="4"/>
        <v>1690621.6914868057</v>
      </c>
      <c r="D26" s="49">
        <f t="shared" si="4"/>
        <v>1713929.2192390501</v>
      </c>
      <c r="E26" s="49">
        <f t="shared" si="4"/>
        <v>1754235.9166021002</v>
      </c>
      <c r="F26" s="49">
        <f t="shared" si="4"/>
        <v>1764861.1590336009</v>
      </c>
      <c r="G26" s="49">
        <f t="shared" si="4"/>
        <v>1823706.5397908769</v>
      </c>
      <c r="H26" s="49">
        <f t="shared" ref="H26:M26" si="5">H9+H20</f>
        <v>1752295.6270187958</v>
      </c>
      <c r="I26" s="49">
        <f t="shared" si="5"/>
        <v>1786298.5393382646</v>
      </c>
      <c r="J26" s="49">
        <f t="shared" si="5"/>
        <v>1827272.6346482914</v>
      </c>
      <c r="K26" s="49">
        <f t="shared" si="5"/>
        <v>1825809.383600899</v>
      </c>
      <c r="L26" s="49">
        <f t="shared" si="5"/>
        <v>1853339.0729578964</v>
      </c>
      <c r="M26" s="49">
        <f t="shared" si="5"/>
        <v>1885932.253534781</v>
      </c>
    </row>
    <row r="27" spans="1:14" x14ac:dyDescent="0.2">
      <c r="A27" s="20"/>
      <c r="B27" s="20"/>
      <c r="C27" s="20"/>
      <c r="D27" s="20"/>
      <c r="E27" s="20"/>
      <c r="F27" s="20"/>
      <c r="G27" s="20"/>
      <c r="H27" s="20"/>
      <c r="I27" s="20"/>
      <c r="J27" s="20"/>
      <c r="K27" s="20"/>
      <c r="L27" s="20"/>
      <c r="M27" s="20"/>
    </row>
    <row r="28" spans="1:14" ht="61.5" customHeight="1" x14ac:dyDescent="0.2">
      <c r="A28" s="95" t="s">
        <v>28</v>
      </c>
      <c r="B28" s="95"/>
      <c r="C28" s="95"/>
      <c r="D28" s="95"/>
      <c r="E28" s="95"/>
      <c r="F28" s="95"/>
      <c r="G28" s="95"/>
    </row>
    <row r="29" spans="1:14" x14ac:dyDescent="0.2">
      <c r="A29" s="95" t="s">
        <v>29</v>
      </c>
      <c r="B29" s="95"/>
      <c r="C29" s="95"/>
      <c r="D29" s="95"/>
      <c r="E29" s="95"/>
      <c r="F29" s="95"/>
      <c r="G29" s="95"/>
    </row>
    <row r="30" spans="1:14" x14ac:dyDescent="0.2">
      <c r="A30" s="7"/>
    </row>
  </sheetData>
  <mergeCells count="2">
    <mergeCell ref="A28:G28"/>
    <mergeCell ref="A29:G29"/>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4"/>
  <sheetViews>
    <sheetView workbookViewId="0">
      <pane xSplit="1" topLeftCell="D1" activePane="topRight" state="frozen"/>
      <selection activeCell="E1" sqref="E1:G2"/>
      <selection pane="topRight" activeCell="A18" sqref="A18:IV18"/>
    </sheetView>
  </sheetViews>
  <sheetFormatPr defaultRowHeight="12.75" x14ac:dyDescent="0.2"/>
  <cols>
    <col min="1" max="1" width="41.85546875" customWidth="1"/>
    <col min="2" max="74" width="13.7109375" customWidth="1"/>
  </cols>
  <sheetData>
    <row r="1" spans="1:14" ht="26.25" x14ac:dyDescent="0.4">
      <c r="A1" s="13" t="s">
        <v>20</v>
      </c>
      <c r="B1" s="14" t="s">
        <v>18</v>
      </c>
      <c r="C1" s="14"/>
      <c r="D1" s="15"/>
    </row>
    <row r="2" spans="1:14" x14ac:dyDescent="0.2">
      <c r="A2" s="14"/>
      <c r="B2" s="15"/>
      <c r="C2" s="15"/>
      <c r="D2" s="15"/>
    </row>
    <row r="3" spans="1:14" x14ac:dyDescent="0.2">
      <c r="A3" s="17" t="s">
        <v>21</v>
      </c>
    </row>
    <row r="4" spans="1:14" x14ac:dyDescent="0.2">
      <c r="A4" s="17" t="s">
        <v>22</v>
      </c>
    </row>
    <row r="6" spans="1:14" x14ac:dyDescent="0.2">
      <c r="A6" s="1" t="s">
        <v>16</v>
      </c>
      <c r="I6" s="3"/>
      <c r="J6" s="3"/>
      <c r="K6" s="3"/>
      <c r="L6" s="3"/>
      <c r="M6" s="3"/>
    </row>
    <row r="7" spans="1:14" x14ac:dyDescent="0.2">
      <c r="A7" s="1" t="s">
        <v>23</v>
      </c>
    </row>
    <row r="8" spans="1:14" ht="13.5" thickBot="1" x14ac:dyDescent="0.25">
      <c r="B8" s="21">
        <v>40909</v>
      </c>
      <c r="C8" s="21">
        <v>40940</v>
      </c>
      <c r="D8" s="21">
        <v>40969</v>
      </c>
      <c r="E8" s="21">
        <v>41000</v>
      </c>
      <c r="F8" s="21">
        <v>41030</v>
      </c>
      <c r="G8" s="21">
        <v>41061</v>
      </c>
      <c r="H8" s="21">
        <v>41091</v>
      </c>
      <c r="I8" s="21">
        <v>41122</v>
      </c>
      <c r="J8" s="21">
        <v>41153</v>
      </c>
      <c r="K8" s="21">
        <v>41183</v>
      </c>
      <c r="L8" s="21">
        <v>41214</v>
      </c>
      <c r="M8" s="21">
        <v>41244</v>
      </c>
    </row>
    <row r="9" spans="1:14" ht="13.5" thickBot="1" x14ac:dyDescent="0.25">
      <c r="A9" s="19" t="s">
        <v>10</v>
      </c>
      <c r="B9" s="47">
        <f t="shared" ref="B9:G9" si="0">SUM(B10:B18)</f>
        <v>1742293.5289799999</v>
      </c>
      <c r="C9" s="47">
        <f t="shared" si="0"/>
        <v>1777188.2608899998</v>
      </c>
      <c r="D9" s="47">
        <f t="shared" si="0"/>
        <v>1793563.9820600001</v>
      </c>
      <c r="E9" s="47">
        <f t="shared" si="0"/>
        <v>1815056.2816599999</v>
      </c>
      <c r="F9" s="47">
        <f t="shared" si="0"/>
        <v>1852504.6872100004</v>
      </c>
      <c r="G9" s="47">
        <f t="shared" si="0"/>
        <v>1903472.3075900003</v>
      </c>
      <c r="H9" s="47">
        <f t="shared" ref="H9:M9" si="1">SUM(H10:H18)</f>
        <v>1814424.0655199999</v>
      </c>
      <c r="I9" s="47">
        <f t="shared" si="1"/>
        <v>1801176.9968899998</v>
      </c>
      <c r="J9" s="47">
        <f t="shared" si="1"/>
        <v>1841223.61148</v>
      </c>
      <c r="K9" s="47">
        <f t="shared" si="1"/>
        <v>1880886.31598</v>
      </c>
      <c r="L9" s="47">
        <f t="shared" si="1"/>
        <v>1899144.32825</v>
      </c>
      <c r="M9" s="47">
        <f t="shared" si="1"/>
        <v>1945294.22419</v>
      </c>
    </row>
    <row r="10" spans="1:14" x14ac:dyDescent="0.2">
      <c r="A10" t="s">
        <v>0</v>
      </c>
      <c r="B10" s="37">
        <v>426962.95500000002</v>
      </c>
      <c r="C10" s="37">
        <v>471590.39199999999</v>
      </c>
      <c r="D10" s="37">
        <v>491728.01</v>
      </c>
      <c r="E10" s="37">
        <v>490466.91700000002</v>
      </c>
      <c r="F10" s="37">
        <v>513016.66800000001</v>
      </c>
      <c r="G10" s="37">
        <v>543054.90700000001</v>
      </c>
      <c r="H10" s="37">
        <v>444885.71100000001</v>
      </c>
      <c r="I10" s="37">
        <v>465515.36800000002</v>
      </c>
      <c r="J10" s="37">
        <v>501863.50699999998</v>
      </c>
      <c r="K10" s="37">
        <v>508013.78899999999</v>
      </c>
      <c r="L10" s="37">
        <v>528242.28200000001</v>
      </c>
      <c r="M10" s="37">
        <v>553799.38899999997</v>
      </c>
    </row>
    <row r="11" spans="1:14" x14ac:dyDescent="0.2">
      <c r="A11" t="s">
        <v>19</v>
      </c>
      <c r="B11" s="37">
        <f>(553840782+1850619+343368)/1000</f>
        <v>556034.76899999997</v>
      </c>
      <c r="C11" s="37">
        <f>(495908063+1498914+345868)/1000</f>
        <v>497752.84499999997</v>
      </c>
      <c r="D11" s="37">
        <f>(473716134+1444057+348633)/1000</f>
        <v>475508.82400000002</v>
      </c>
      <c r="E11" s="37">
        <f>(476174741+1386643+351042)/1000</f>
        <v>477912.42599999998</v>
      </c>
      <c r="F11" s="37">
        <f>(480492309+1328749+353584)/1000</f>
        <v>482174.64199999999</v>
      </c>
      <c r="G11" s="37">
        <f>(445791023+1268571+355782)/1000</f>
        <v>447415.37599999999</v>
      </c>
      <c r="H11" s="37">
        <f>(446706756+1208003+358130)/1000</f>
        <v>448272.88900000002</v>
      </c>
      <c r="I11" s="37">
        <f>(447555075+1146649+360538)/1000</f>
        <v>449062.26199999999</v>
      </c>
      <c r="J11" s="37">
        <f>(421063805+1083263+339112)/1000</f>
        <v>422486.18</v>
      </c>
      <c r="K11" s="37">
        <f>(433466370+1018742+341117)/1000</f>
        <v>434826.22899999999</v>
      </c>
      <c r="L11" s="37">
        <f>(421087101+953323+342925)/1000</f>
        <v>422383.34899999999</v>
      </c>
      <c r="M11" s="37">
        <f>(423726030+887138+344746)/1000</f>
        <v>424957.91399999999</v>
      </c>
    </row>
    <row r="12" spans="1:14" x14ac:dyDescent="0.2">
      <c r="A12" t="s">
        <v>1</v>
      </c>
      <c r="B12" s="37">
        <v>62205.932000000001</v>
      </c>
      <c r="C12" s="37">
        <v>62462.504000000001</v>
      </c>
      <c r="D12" s="37">
        <v>63194.446000000004</v>
      </c>
      <c r="E12" s="37">
        <v>63653.105000000003</v>
      </c>
      <c r="F12" s="37">
        <v>64808.483999999997</v>
      </c>
      <c r="G12" s="37">
        <v>65747.88</v>
      </c>
      <c r="H12" s="37">
        <v>64828.671999999999</v>
      </c>
      <c r="I12" s="37">
        <v>66268.941000000006</v>
      </c>
      <c r="J12" s="37">
        <v>67431.945000000007</v>
      </c>
      <c r="K12" s="37">
        <v>67299.740999999995</v>
      </c>
      <c r="L12" s="37">
        <v>67654.263999999996</v>
      </c>
      <c r="M12" s="37">
        <v>67469.312000000005</v>
      </c>
      <c r="N12" s="51"/>
    </row>
    <row r="13" spans="1:14" x14ac:dyDescent="0.2">
      <c r="A13" t="s">
        <v>2</v>
      </c>
      <c r="B13" s="44">
        <v>0</v>
      </c>
      <c r="C13" s="44">
        <v>0</v>
      </c>
      <c r="D13" s="44">
        <v>0</v>
      </c>
      <c r="E13" s="44">
        <v>0</v>
      </c>
      <c r="F13" s="44">
        <v>0</v>
      </c>
      <c r="G13" s="44">
        <v>0</v>
      </c>
      <c r="H13" s="44">
        <v>0</v>
      </c>
      <c r="I13" s="44">
        <v>0</v>
      </c>
      <c r="J13" s="44">
        <v>0</v>
      </c>
      <c r="K13" s="44">
        <v>0</v>
      </c>
      <c r="L13" s="44">
        <v>0</v>
      </c>
      <c r="M13" s="44">
        <v>0</v>
      </c>
    </row>
    <row r="14" spans="1:14" x14ac:dyDescent="0.2">
      <c r="A14" t="s">
        <v>24</v>
      </c>
      <c r="B14" s="37">
        <v>478119.74400000001</v>
      </c>
      <c r="C14" s="37">
        <v>512910.79300000001</v>
      </c>
      <c r="D14" s="37">
        <v>525210.37699999998</v>
      </c>
      <c r="E14" s="37">
        <v>540509.81599999999</v>
      </c>
      <c r="F14" s="37">
        <v>544614.91099999996</v>
      </c>
      <c r="G14" s="37">
        <v>583930.04299999995</v>
      </c>
      <c r="H14" s="37">
        <v>598378.10600000003</v>
      </c>
      <c r="I14" s="37">
        <v>560905.17599999998</v>
      </c>
      <c r="J14" s="37">
        <v>584783.96699999995</v>
      </c>
      <c r="K14" s="37">
        <v>597534.78799999994</v>
      </c>
      <c r="L14" s="37">
        <v>603275.77800000005</v>
      </c>
      <c r="M14" s="37">
        <v>621763.96699999995</v>
      </c>
    </row>
    <row r="15" spans="1:14" x14ac:dyDescent="0.2">
      <c r="A15" t="s">
        <v>25</v>
      </c>
      <c r="B15" s="37">
        <v>184192.62899999999</v>
      </c>
      <c r="C15" s="37">
        <v>198025.36300000001</v>
      </c>
      <c r="D15" s="37">
        <v>202992.92</v>
      </c>
      <c r="E15" s="37">
        <v>207111.11900000001</v>
      </c>
      <c r="F15" s="37">
        <v>211756.16800000001</v>
      </c>
      <c r="G15" s="37">
        <v>227203.5</v>
      </c>
      <c r="H15" s="37">
        <v>221773.84299999999</v>
      </c>
      <c r="I15" s="37">
        <v>225025.609</v>
      </c>
      <c r="J15" s="37">
        <v>230170.171</v>
      </c>
      <c r="K15" s="37">
        <v>238858.18799999999</v>
      </c>
      <c r="L15" s="37">
        <v>242802.25899999999</v>
      </c>
      <c r="M15" s="37">
        <v>242838.87899999999</v>
      </c>
    </row>
    <row r="16" spans="1:14" x14ac:dyDescent="0.2">
      <c r="A16" t="s">
        <v>27</v>
      </c>
      <c r="B16" s="37">
        <v>9557.1771099999987</v>
      </c>
      <c r="C16" s="37">
        <v>9562.4506600000004</v>
      </c>
      <c r="D16" s="37">
        <v>9642.6550500000012</v>
      </c>
      <c r="E16" s="37">
        <v>9601.7799900000009</v>
      </c>
      <c r="F16" s="37">
        <v>9561.9077300000008</v>
      </c>
      <c r="G16" s="37">
        <v>9517.7032799999997</v>
      </c>
      <c r="H16" s="37">
        <v>9482.4440899999991</v>
      </c>
      <c r="I16" s="37">
        <v>8364.5194100000008</v>
      </c>
      <c r="J16" s="37">
        <v>8326.7919199999997</v>
      </c>
      <c r="K16" s="37">
        <v>8285.5444900000002</v>
      </c>
      <c r="L16" s="37">
        <v>8257.6759199999997</v>
      </c>
      <c r="M16" s="37">
        <v>8217.3438399999995</v>
      </c>
    </row>
    <row r="17" spans="1:15" x14ac:dyDescent="0.2">
      <c r="A17" t="s">
        <v>3</v>
      </c>
      <c r="B17" s="37">
        <v>3953.3381600000002</v>
      </c>
      <c r="C17" s="37">
        <v>3914.2483700000003</v>
      </c>
      <c r="D17" s="37">
        <v>3802.00495</v>
      </c>
      <c r="E17" s="37">
        <v>3893.97543</v>
      </c>
      <c r="F17" s="37">
        <v>3824.7732099999998</v>
      </c>
      <c r="G17" s="37">
        <v>3786.6</v>
      </c>
      <c r="H17" s="37">
        <v>3727.4161099999997</v>
      </c>
      <c r="I17" s="37">
        <v>3656.6461600000002</v>
      </c>
      <c r="J17" s="37">
        <v>3578.9792400000001</v>
      </c>
      <c r="K17" s="37">
        <v>3602.7881699999998</v>
      </c>
      <c r="L17" s="37">
        <v>3534.12601</v>
      </c>
      <c r="M17" s="37">
        <v>3455.5980300000001</v>
      </c>
      <c r="O17" s="51"/>
    </row>
    <row r="18" spans="1:15" x14ac:dyDescent="0.2">
      <c r="A18" t="s">
        <v>4</v>
      </c>
      <c r="B18" s="37">
        <v>21266.984710000001</v>
      </c>
      <c r="C18" s="37">
        <v>20969.664860000001</v>
      </c>
      <c r="D18" s="37">
        <v>21484.745060000001</v>
      </c>
      <c r="E18" s="37">
        <v>21907.143240000001</v>
      </c>
      <c r="F18" s="37">
        <v>22747.133269999998</v>
      </c>
      <c r="G18" s="37">
        <v>22816.298310000002</v>
      </c>
      <c r="H18" s="37">
        <v>23074.98432</v>
      </c>
      <c r="I18" s="37">
        <v>22378.475320000001</v>
      </c>
      <c r="J18" s="37">
        <v>22582.070319999999</v>
      </c>
      <c r="K18" s="37">
        <v>22465.248319999999</v>
      </c>
      <c r="L18" s="37">
        <v>22994.59432</v>
      </c>
      <c r="M18" s="37">
        <v>22791.821319999999</v>
      </c>
    </row>
    <row r="19" spans="1:15" x14ac:dyDescent="0.2">
      <c r="B19" s="45"/>
      <c r="C19" s="45"/>
      <c r="D19" s="45"/>
      <c r="E19" s="45"/>
      <c r="F19" s="45"/>
      <c r="G19" s="45"/>
      <c r="H19" s="45"/>
      <c r="I19" s="45"/>
      <c r="J19" s="45"/>
      <c r="K19" s="45"/>
      <c r="L19" s="45"/>
      <c r="M19" s="45"/>
    </row>
    <row r="20" spans="1:15" ht="13.5" thickBot="1" x14ac:dyDescent="0.25">
      <c r="A20" s="2" t="s">
        <v>11</v>
      </c>
      <c r="B20" s="48">
        <f t="shared" ref="B20:G20" si="2">SUM(B21:B24)</f>
        <v>78379.764600254392</v>
      </c>
      <c r="C20" s="48">
        <f t="shared" si="2"/>
        <v>75665.167149803878</v>
      </c>
      <c r="D20" s="48">
        <f t="shared" si="2"/>
        <v>81661.405122466123</v>
      </c>
      <c r="E20" s="48">
        <f t="shared" si="2"/>
        <v>81818.773241899034</v>
      </c>
      <c r="F20" s="48">
        <f t="shared" si="2"/>
        <v>90790.624147266557</v>
      </c>
      <c r="G20" s="48">
        <f t="shared" si="2"/>
        <v>90961.617905863342</v>
      </c>
      <c r="H20" s="48">
        <f t="shared" ref="H20:M20" si="3">SUM(H21:H24)</f>
        <v>90445.037254682466</v>
      </c>
      <c r="I20" s="48">
        <f t="shared" si="3"/>
        <v>90443.973100969597</v>
      </c>
      <c r="J20" s="48">
        <f t="shared" si="3"/>
        <v>90890.905968482068</v>
      </c>
      <c r="K20" s="48">
        <f t="shared" si="3"/>
        <v>91258.402960085208</v>
      </c>
      <c r="L20" s="48">
        <f t="shared" si="3"/>
        <v>94581.812275967066</v>
      </c>
      <c r="M20" s="48">
        <f t="shared" si="3"/>
        <v>92825.910029346618</v>
      </c>
    </row>
    <row r="21" spans="1:15" x14ac:dyDescent="0.2">
      <c r="A21" t="s">
        <v>5</v>
      </c>
      <c r="B21" s="37">
        <v>67617.522247069835</v>
      </c>
      <c r="C21" s="37">
        <v>65025.748101566169</v>
      </c>
      <c r="D21" s="37">
        <v>70407.564127073332</v>
      </c>
      <c r="E21" s="37">
        <v>70564.932246506243</v>
      </c>
      <c r="F21" s="37">
        <v>78410.687996617839</v>
      </c>
      <c r="G21" s="37">
        <v>78840.343104645071</v>
      </c>
      <c r="H21" s="37">
        <v>77982.166053772889</v>
      </c>
      <c r="I21" s="37">
        <v>77886.781969760923</v>
      </c>
      <c r="J21" s="37">
        <v>78367.153356966781</v>
      </c>
      <c r="K21" s="37">
        <v>78611.730909349659</v>
      </c>
      <c r="L21" s="37">
        <v>81178.566194457511</v>
      </c>
      <c r="M21" s="37">
        <v>79470.300224528823</v>
      </c>
      <c r="N21" s="10"/>
    </row>
    <row r="22" spans="1:15" x14ac:dyDescent="0.2">
      <c r="A22" t="s">
        <v>6</v>
      </c>
      <c r="B22" s="37">
        <v>6406.6747787597269</v>
      </c>
      <c r="C22" s="37">
        <v>6374.741325870832</v>
      </c>
      <c r="D22" s="37">
        <v>6714.8829056711911</v>
      </c>
      <c r="E22" s="37">
        <v>6714.8829056711911</v>
      </c>
      <c r="F22" s="37">
        <v>7375.4667203735708</v>
      </c>
      <c r="G22" s="37">
        <v>7300.6959792307953</v>
      </c>
      <c r="H22" s="37">
        <v>7436.2703229804602</v>
      </c>
      <c r="I22" s="37">
        <v>7457.6009227063951</v>
      </c>
      <c r="J22" s="37">
        <v>7334.8072284106629</v>
      </c>
      <c r="K22" s="37">
        <v>7348.9106362934708</v>
      </c>
      <c r="L22" s="37">
        <v>7604.6817363837026</v>
      </c>
      <c r="M22" s="37">
        <v>7425.1684704505733</v>
      </c>
      <c r="N22" s="10"/>
    </row>
    <row r="23" spans="1:15" x14ac:dyDescent="0.2">
      <c r="A23" t="s">
        <v>7</v>
      </c>
      <c r="B23" s="37">
        <v>4355.5675744248356</v>
      </c>
      <c r="C23" s="37">
        <v>4264.677722366876</v>
      </c>
      <c r="D23" s="37">
        <v>4538.9580897216001</v>
      </c>
      <c r="E23" s="37">
        <v>4538.9580897216001</v>
      </c>
      <c r="F23" s="37">
        <v>5004.4694302751404</v>
      </c>
      <c r="G23" s="37">
        <v>4820.5788219874876</v>
      </c>
      <c r="H23" s="37">
        <v>5026.6008779291133</v>
      </c>
      <c r="I23" s="37">
        <v>5099.5902085022835</v>
      </c>
      <c r="J23" s="37">
        <v>5188.9453831046258</v>
      </c>
      <c r="K23" s="37">
        <v>5297.7614144420786</v>
      </c>
      <c r="L23" s="37">
        <v>5798.5643451258493</v>
      </c>
      <c r="M23" s="37">
        <v>5930.4413343672259</v>
      </c>
      <c r="N23" s="10"/>
    </row>
    <row r="24" spans="1:15" x14ac:dyDescent="0.2">
      <c r="A24" t="s">
        <v>8</v>
      </c>
      <c r="B24" s="50">
        <v>0</v>
      </c>
      <c r="C24" s="50">
        <v>0</v>
      </c>
      <c r="D24" s="50">
        <v>0</v>
      </c>
      <c r="E24" s="50">
        <v>0</v>
      </c>
      <c r="F24" s="50">
        <v>0</v>
      </c>
      <c r="G24" s="50">
        <v>0</v>
      </c>
      <c r="H24" s="50">
        <v>0</v>
      </c>
      <c r="I24" s="50">
        <v>0</v>
      </c>
      <c r="J24" s="50">
        <v>0</v>
      </c>
      <c r="K24" s="50">
        <v>0</v>
      </c>
      <c r="L24" s="50">
        <v>0</v>
      </c>
      <c r="M24" s="50">
        <v>0</v>
      </c>
      <c r="N24" s="10"/>
    </row>
    <row r="25" spans="1:15" ht="13.5" thickBot="1" x14ac:dyDescent="0.25">
      <c r="A25" s="6"/>
      <c r="B25" s="46"/>
      <c r="C25" s="46"/>
      <c r="D25" s="46"/>
      <c r="E25" s="46"/>
      <c r="F25" s="46"/>
      <c r="G25" s="46"/>
      <c r="H25" s="46"/>
      <c r="I25" s="46"/>
      <c r="J25" s="46"/>
      <c r="K25" s="46"/>
      <c r="L25" s="46"/>
      <c r="M25" s="46"/>
    </row>
    <row r="26" spans="1:15" x14ac:dyDescent="0.2">
      <c r="A26" s="1" t="s">
        <v>9</v>
      </c>
      <c r="B26" s="49">
        <f t="shared" ref="B26:G26" si="4">B9+B20</f>
        <v>1820673.2935802543</v>
      </c>
      <c r="C26" s="49">
        <f t="shared" si="4"/>
        <v>1852853.4280398036</v>
      </c>
      <c r="D26" s="49">
        <f t="shared" si="4"/>
        <v>1875225.3871824662</v>
      </c>
      <c r="E26" s="49">
        <f t="shared" si="4"/>
        <v>1896875.0549018988</v>
      </c>
      <c r="F26" s="49">
        <f t="shared" si="4"/>
        <v>1943295.311357267</v>
      </c>
      <c r="G26" s="49">
        <f t="shared" si="4"/>
        <v>1994433.9254958637</v>
      </c>
      <c r="H26" s="49">
        <f t="shared" ref="H26:M26" si="5">H9+H20</f>
        <v>1904869.1027746825</v>
      </c>
      <c r="I26" s="49">
        <f t="shared" si="5"/>
        <v>1891620.9699909694</v>
      </c>
      <c r="J26" s="49">
        <f t="shared" si="5"/>
        <v>1932114.5174484821</v>
      </c>
      <c r="K26" s="49">
        <f t="shared" si="5"/>
        <v>1972144.7189400853</v>
      </c>
      <c r="L26" s="49">
        <f t="shared" si="5"/>
        <v>1993726.1405259671</v>
      </c>
      <c r="M26" s="49">
        <f t="shared" si="5"/>
        <v>2038120.1342193466</v>
      </c>
    </row>
    <row r="27" spans="1:15" x14ac:dyDescent="0.2">
      <c r="A27" s="20"/>
      <c r="B27" s="20"/>
      <c r="C27" s="20"/>
      <c r="D27" s="20"/>
      <c r="E27" s="20"/>
      <c r="F27" s="20"/>
      <c r="G27" s="20"/>
      <c r="H27" s="20"/>
      <c r="I27" s="20"/>
      <c r="J27" s="20"/>
      <c r="K27" s="20"/>
      <c r="L27" s="20"/>
      <c r="M27" s="20"/>
    </row>
    <row r="28" spans="1:15" ht="36" customHeight="1" x14ac:dyDescent="0.2">
      <c r="A28" s="95" t="s">
        <v>28</v>
      </c>
      <c r="B28" s="95"/>
      <c r="C28" s="95"/>
      <c r="D28" s="95"/>
      <c r="E28" s="95"/>
      <c r="F28" s="95"/>
      <c r="G28" s="95"/>
      <c r="H28" s="95"/>
      <c r="I28" s="95"/>
      <c r="J28" s="95"/>
      <c r="K28" s="95"/>
      <c r="L28" s="95"/>
      <c r="M28" s="95"/>
    </row>
    <row r="29" spans="1:15" ht="12" customHeight="1" x14ac:dyDescent="0.2">
      <c r="A29" s="95" t="s">
        <v>29</v>
      </c>
      <c r="B29" s="95"/>
      <c r="C29" s="95"/>
      <c r="D29" s="95"/>
      <c r="E29" s="95"/>
      <c r="F29" s="95"/>
      <c r="G29" s="95"/>
    </row>
    <row r="30" spans="1:15" ht="12.75" customHeight="1" x14ac:dyDescent="0.2">
      <c r="A30" s="95"/>
      <c r="B30" s="95"/>
      <c r="C30" s="95"/>
      <c r="D30" s="95"/>
      <c r="E30" s="95"/>
      <c r="F30" s="95"/>
      <c r="G30" s="95"/>
    </row>
    <row r="31" spans="1:15" x14ac:dyDescent="0.2">
      <c r="A31" s="7"/>
    </row>
    <row r="32" spans="1:15" x14ac:dyDescent="0.2">
      <c r="A32" s="7"/>
    </row>
    <row r="33" spans="1:1" x14ac:dyDescent="0.2">
      <c r="A33" s="7"/>
    </row>
    <row r="34" spans="1:1" x14ac:dyDescent="0.2">
      <c r="A34" s="7"/>
    </row>
  </sheetData>
  <mergeCells count="3">
    <mergeCell ref="A29:G29"/>
    <mergeCell ref="A30:G30"/>
    <mergeCell ref="A28:M28"/>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33"/>
  <sheetViews>
    <sheetView workbookViewId="0">
      <pane xSplit="1" topLeftCell="I1" activePane="topRight" state="frozen"/>
      <selection activeCell="E1" sqref="E1:G2"/>
      <selection pane="topRight" activeCell="A17" sqref="A17:IV17"/>
    </sheetView>
  </sheetViews>
  <sheetFormatPr defaultRowHeight="12.75" x14ac:dyDescent="0.2"/>
  <cols>
    <col min="1" max="1" width="41.85546875" customWidth="1"/>
    <col min="2" max="74" width="13.7109375" customWidth="1"/>
  </cols>
  <sheetData>
    <row r="1" spans="1:14" ht="26.25" x14ac:dyDescent="0.4">
      <c r="A1" s="13" t="s">
        <v>20</v>
      </c>
      <c r="B1" s="14" t="s">
        <v>18</v>
      </c>
      <c r="C1" s="14"/>
      <c r="D1" s="15"/>
    </row>
    <row r="2" spans="1:14" x14ac:dyDescent="0.2">
      <c r="A2" s="14"/>
      <c r="B2" s="15"/>
      <c r="C2" s="15"/>
      <c r="D2" s="15"/>
    </row>
    <row r="3" spans="1:14" x14ac:dyDescent="0.2">
      <c r="A3" s="17" t="s">
        <v>21</v>
      </c>
    </row>
    <row r="4" spans="1:14" x14ac:dyDescent="0.2">
      <c r="A4" s="17" t="s">
        <v>22</v>
      </c>
    </row>
    <row r="6" spans="1:14" x14ac:dyDescent="0.2">
      <c r="A6" s="1" t="s">
        <v>16</v>
      </c>
      <c r="I6" s="3"/>
      <c r="J6" s="3"/>
      <c r="K6" s="3"/>
      <c r="L6" s="3"/>
      <c r="M6" s="3"/>
    </row>
    <row r="7" spans="1:14" x14ac:dyDescent="0.2">
      <c r="A7" s="1" t="s">
        <v>23</v>
      </c>
    </row>
    <row r="8" spans="1:14" ht="13.5" thickBot="1" x14ac:dyDescent="0.25">
      <c r="B8" s="21">
        <v>41275</v>
      </c>
      <c r="C8" s="21">
        <v>41306</v>
      </c>
      <c r="D8" s="21">
        <v>41334</v>
      </c>
      <c r="E8" s="21">
        <v>41365</v>
      </c>
      <c r="F8" s="21">
        <v>41395</v>
      </c>
      <c r="G8" s="21">
        <v>41426</v>
      </c>
      <c r="H8" s="21">
        <v>41456</v>
      </c>
      <c r="I8" s="21">
        <v>41487</v>
      </c>
      <c r="J8" s="21">
        <v>41518</v>
      </c>
      <c r="K8" s="21">
        <v>41548</v>
      </c>
      <c r="L8" s="21">
        <v>41579</v>
      </c>
      <c r="M8" s="21">
        <v>41609</v>
      </c>
    </row>
    <row r="9" spans="1:14" ht="13.5" thickBot="1" x14ac:dyDescent="0.25">
      <c r="A9" s="19" t="s">
        <v>10</v>
      </c>
      <c r="B9" s="47">
        <f t="shared" ref="B9:G9" si="0">SUM(B10:B17)</f>
        <v>1867103.9797999996</v>
      </c>
      <c r="C9" s="47">
        <f t="shared" si="0"/>
        <v>1892391.61157</v>
      </c>
      <c r="D9" s="47">
        <f t="shared" si="0"/>
        <v>1880008.9069900003</v>
      </c>
      <c r="E9" s="47">
        <f t="shared" si="0"/>
        <v>1879405.5882999997</v>
      </c>
      <c r="F9" s="47">
        <f t="shared" si="0"/>
        <v>1869525.6169499999</v>
      </c>
      <c r="G9" s="47">
        <f t="shared" si="0"/>
        <v>1925110.14469</v>
      </c>
      <c r="H9" s="47">
        <f t="shared" ref="H9:M9" si="1">SUM(H10:H17)</f>
        <v>1891732.19735</v>
      </c>
      <c r="I9" s="47">
        <f t="shared" si="1"/>
        <v>1922002.0736799999</v>
      </c>
      <c r="J9" s="47">
        <f t="shared" si="1"/>
        <v>1927576.7896300002</v>
      </c>
      <c r="K9" s="47">
        <f t="shared" si="1"/>
        <v>1960020.2070900002</v>
      </c>
      <c r="L9" s="47">
        <f t="shared" si="1"/>
        <v>1998623.8649100002</v>
      </c>
      <c r="M9" s="47">
        <f t="shared" si="1"/>
        <v>2054878.6367499998</v>
      </c>
    </row>
    <row r="10" spans="1:14" x14ac:dyDescent="0.2">
      <c r="A10" t="s">
        <v>0</v>
      </c>
      <c r="B10" s="37">
        <v>514531.18</v>
      </c>
      <c r="C10" s="37">
        <v>527146.26100000006</v>
      </c>
      <c r="D10" s="37">
        <v>548820.78599999996</v>
      </c>
      <c r="E10" s="37">
        <v>528503.63899999997</v>
      </c>
      <c r="F10" s="37">
        <v>549025.15599999996</v>
      </c>
      <c r="G10" s="37">
        <v>580296.08600000001</v>
      </c>
      <c r="H10" s="37">
        <v>532047.73400000005</v>
      </c>
      <c r="I10" s="37">
        <v>548999.11399999994</v>
      </c>
      <c r="J10" s="37">
        <v>583479.23499999999</v>
      </c>
      <c r="K10" s="56">
        <v>593564.93299999996</v>
      </c>
      <c r="L10" s="56">
        <v>615940.78</v>
      </c>
      <c r="M10" s="56">
        <v>645606.63100000005</v>
      </c>
      <c r="N10" s="51"/>
    </row>
    <row r="11" spans="1:14" x14ac:dyDescent="0.2">
      <c r="A11" t="s">
        <v>19</v>
      </c>
      <c r="B11" s="37">
        <f>(429029185+820577+346755)/1000</f>
        <v>430196.51699999999</v>
      </c>
      <c r="C11" s="37">
        <f>(436562777+752900+348406)/1000</f>
        <v>437664.08299999998</v>
      </c>
      <c r="D11" s="37">
        <f>(387834281+684324+350258)/1000</f>
        <v>388868.86300000001</v>
      </c>
      <c r="E11" s="37">
        <f>(395292749+614737+352180)/1000</f>
        <v>396259.66600000003</v>
      </c>
      <c r="F11" s="37">
        <f>(403322407+544742+354228)/1000</f>
        <v>404221.37699999998</v>
      </c>
      <c r="G11" s="37">
        <f>(414090186+479782+356314)/1000</f>
        <v>414926.28200000001</v>
      </c>
      <c r="H11" s="37">
        <f>(427067183+428945+358835)/1000</f>
        <v>427854.96299999999</v>
      </c>
      <c r="I11" s="37">
        <f>(439898621+377866+361326)/1000</f>
        <v>440637.81300000002</v>
      </c>
      <c r="J11" s="37">
        <f>(387419367+332128+363847)/1000</f>
        <v>388115.342</v>
      </c>
      <c r="K11" s="37">
        <f>(392374299+285972+366739)/1000</f>
        <v>393027.01</v>
      </c>
      <c r="L11" s="37">
        <f>(395811772+246933+369323)/1000</f>
        <v>396428.02799999999</v>
      </c>
      <c r="M11" s="37">
        <f>(394662844+212424+372185)/1000</f>
        <v>395247.45299999998</v>
      </c>
    </row>
    <row r="12" spans="1:14" x14ac:dyDescent="0.2">
      <c r="A12" t="s">
        <v>1</v>
      </c>
      <c r="B12" s="37">
        <v>65672.159</v>
      </c>
      <c r="C12" s="37">
        <v>66375.547000000006</v>
      </c>
      <c r="D12" s="37">
        <v>67032.06</v>
      </c>
      <c r="E12" s="37">
        <v>67015.914000000004</v>
      </c>
      <c r="F12" s="37">
        <v>67544.207999999999</v>
      </c>
      <c r="G12" s="37">
        <v>68436.982999999993</v>
      </c>
      <c r="H12" s="37">
        <v>66513.182000000001</v>
      </c>
      <c r="I12" s="37">
        <v>67131.180999999997</v>
      </c>
      <c r="J12" s="37">
        <v>68669.240999999995</v>
      </c>
      <c r="K12" s="37">
        <v>69170.153000000006</v>
      </c>
      <c r="L12" s="37">
        <v>69913.350000000006</v>
      </c>
      <c r="M12" s="37">
        <v>70718.407000000007</v>
      </c>
    </row>
    <row r="13" spans="1:14" x14ac:dyDescent="0.2">
      <c r="A13" t="s">
        <v>24</v>
      </c>
      <c r="B13" s="37">
        <v>636781.12</v>
      </c>
      <c r="C13" s="37">
        <v>634575.67099999997</v>
      </c>
      <c r="D13" s="37">
        <v>642720.05500000005</v>
      </c>
      <c r="E13" s="54">
        <v>652737.10699999996</v>
      </c>
      <c r="F13" s="54">
        <v>610476.17099999997</v>
      </c>
      <c r="G13" s="54">
        <v>617820.45299999998</v>
      </c>
      <c r="H13" s="54">
        <v>627757.93500000006</v>
      </c>
      <c r="I13" s="54">
        <v>623696.76500000001</v>
      </c>
      <c r="J13" s="54">
        <v>639461.451</v>
      </c>
      <c r="K13" s="54">
        <v>646007.61800000002</v>
      </c>
      <c r="L13" s="54">
        <v>649154.89399999997</v>
      </c>
      <c r="M13" s="54">
        <v>669472.39500000002</v>
      </c>
    </row>
    <row r="14" spans="1:14" x14ac:dyDescent="0.2">
      <c r="A14" t="s">
        <v>25</v>
      </c>
      <c r="B14" s="37">
        <v>185793.41399999999</v>
      </c>
      <c r="C14" s="37">
        <v>192272.497</v>
      </c>
      <c r="D14" s="37">
        <v>197951.76500000001</v>
      </c>
      <c r="E14" s="37">
        <v>200142.49799999999</v>
      </c>
      <c r="F14" s="54">
        <v>202743.58900000001</v>
      </c>
      <c r="G14" s="54">
        <v>207811.02499999999</v>
      </c>
      <c r="H14" s="54">
        <v>201429.772</v>
      </c>
      <c r="I14" s="54">
        <v>205625.109</v>
      </c>
      <c r="J14" s="54">
        <v>212323.201</v>
      </c>
      <c r="K14" s="54">
        <v>222714.67499999999</v>
      </c>
      <c r="L14" s="54">
        <v>231337.27900000001</v>
      </c>
      <c r="M14" s="54">
        <v>238028.02600000001</v>
      </c>
    </row>
    <row r="15" spans="1:14" x14ac:dyDescent="0.2">
      <c r="A15" t="s">
        <v>27</v>
      </c>
      <c r="B15" s="37">
        <v>8100.8570199999995</v>
      </c>
      <c r="C15" s="37">
        <v>8059.0577000000003</v>
      </c>
      <c r="D15" s="37">
        <v>8017.1052499999996</v>
      </c>
      <c r="E15" s="37">
        <v>7983.9467199999999</v>
      </c>
      <c r="F15" s="37">
        <v>7941.3941599999998</v>
      </c>
      <c r="G15" s="37">
        <v>7900.5661399999999</v>
      </c>
      <c r="H15" s="37">
        <v>7859.6617300000007</v>
      </c>
      <c r="I15" s="37">
        <v>7817.8458600000004</v>
      </c>
      <c r="J15" s="37">
        <v>7750.64426</v>
      </c>
      <c r="K15" s="37">
        <v>7718.5984699999999</v>
      </c>
      <c r="L15" s="37">
        <v>7678.94074</v>
      </c>
      <c r="M15" s="37">
        <v>7641.3320000000003</v>
      </c>
    </row>
    <row r="16" spans="1:14" x14ac:dyDescent="0.2">
      <c r="A16" t="s">
        <v>3</v>
      </c>
      <c r="B16" s="37">
        <v>3441.7014599999998</v>
      </c>
      <c r="C16" s="37">
        <v>3617.5885499999999</v>
      </c>
      <c r="D16" s="37">
        <v>3588.63042</v>
      </c>
      <c r="E16" s="37">
        <v>3486.5352599999997</v>
      </c>
      <c r="F16" s="37">
        <v>3450.6974700000001</v>
      </c>
      <c r="G16" s="37">
        <v>3396.0702299999998</v>
      </c>
      <c r="H16" s="37">
        <v>3383.2012799999998</v>
      </c>
      <c r="I16" s="37">
        <v>3296.8164300000003</v>
      </c>
      <c r="J16" s="37">
        <v>3225.7178699999999</v>
      </c>
      <c r="K16" s="37">
        <v>3209.3896199999999</v>
      </c>
      <c r="L16" s="37">
        <v>3187.6563799999999</v>
      </c>
      <c r="M16" s="37">
        <v>3139.5488300000002</v>
      </c>
    </row>
    <row r="17" spans="1:13" x14ac:dyDescent="0.2">
      <c r="A17" t="s">
        <v>4</v>
      </c>
      <c r="B17" s="37">
        <v>22587.031320000002</v>
      </c>
      <c r="C17" s="37">
        <v>22680.906320000002</v>
      </c>
      <c r="D17" s="37">
        <v>23009.642319999999</v>
      </c>
      <c r="E17" s="37">
        <v>23276.282320000002</v>
      </c>
      <c r="F17" s="37">
        <v>24123.02432</v>
      </c>
      <c r="G17" s="37">
        <v>24522.679319999999</v>
      </c>
      <c r="H17" s="37">
        <v>24885.748339999998</v>
      </c>
      <c r="I17" s="37">
        <v>24797.429390000001</v>
      </c>
      <c r="J17" s="37">
        <v>24551.9575</v>
      </c>
      <c r="K17" s="37">
        <v>24607.83</v>
      </c>
      <c r="L17" s="37">
        <v>24982.93679</v>
      </c>
      <c r="M17" s="37">
        <v>25024.843920000003</v>
      </c>
    </row>
    <row r="18" spans="1:13" x14ac:dyDescent="0.2">
      <c r="B18" s="45"/>
      <c r="C18" s="45"/>
      <c r="D18" s="45"/>
      <c r="E18" s="45"/>
      <c r="F18" s="45"/>
      <c r="G18" s="45"/>
      <c r="H18" s="45"/>
      <c r="I18" s="45"/>
      <c r="J18" s="45"/>
      <c r="K18" s="45"/>
      <c r="L18" s="45"/>
      <c r="M18" s="45"/>
    </row>
    <row r="19" spans="1:13" ht="13.5" thickBot="1" x14ac:dyDescent="0.25">
      <c r="A19" s="2" t="s">
        <v>11</v>
      </c>
      <c r="B19" s="48">
        <f t="shared" ref="B19:G19" si="2">SUM(B20:B23)</f>
        <v>89542.761118639522</v>
      </c>
      <c r="C19" s="48">
        <f t="shared" si="2"/>
        <v>88935.963033486696</v>
      </c>
      <c r="D19" s="48">
        <f t="shared" si="2"/>
        <v>90116.963560724907</v>
      </c>
      <c r="E19" s="48">
        <f t="shared" si="2"/>
        <v>89892.652632079087</v>
      </c>
      <c r="F19" s="48">
        <f t="shared" si="2"/>
        <v>96057.17338889635</v>
      </c>
      <c r="G19" s="48">
        <f t="shared" si="2"/>
        <v>92424.477740616683</v>
      </c>
      <c r="H19" s="48">
        <f t="shared" ref="H19:M19" si="3">SUM(H20:H23)</f>
        <v>93377.096783831774</v>
      </c>
      <c r="I19" s="48">
        <f t="shared" si="3"/>
        <v>94020.464008631461</v>
      </c>
      <c r="J19" s="48">
        <f t="shared" si="3"/>
        <v>92760.778479165616</v>
      </c>
      <c r="K19" s="48">
        <f t="shared" si="3"/>
        <v>90167.619967447929</v>
      </c>
      <c r="L19" s="48">
        <f t="shared" si="3"/>
        <v>98632.288722736645</v>
      </c>
      <c r="M19" s="48">
        <f t="shared" si="3"/>
        <v>95628.025093600445</v>
      </c>
    </row>
    <row r="20" spans="1:13" x14ac:dyDescent="0.2">
      <c r="A20" t="s">
        <v>5</v>
      </c>
      <c r="B20" s="37">
        <v>76275.414948145379</v>
      </c>
      <c r="C20" s="37">
        <v>75893.533237055264</v>
      </c>
      <c r="D20" s="37">
        <v>77006.928458881914</v>
      </c>
      <c r="E20" s="37">
        <v>76670.392002814304</v>
      </c>
      <c r="F20" s="37">
        <v>82632.850492159225</v>
      </c>
      <c r="G20" s="37">
        <v>84143.670841515137</v>
      </c>
      <c r="H20" s="37">
        <v>83979.838750036157</v>
      </c>
      <c r="I20" s="37">
        <v>84568.932374028765</v>
      </c>
      <c r="J20" s="37">
        <v>83415.300368394906</v>
      </c>
      <c r="K20" s="37">
        <v>80772.392633790543</v>
      </c>
      <c r="L20" s="37">
        <v>88710.415205895697</v>
      </c>
      <c r="M20" s="37">
        <v>86091.846681894371</v>
      </c>
    </row>
    <row r="21" spans="1:13" x14ac:dyDescent="0.2">
      <c r="A21" t="s">
        <v>6</v>
      </c>
      <c r="B21" s="37">
        <v>7215.576957744066</v>
      </c>
      <c r="C21" s="37">
        <v>7177.0707138974194</v>
      </c>
      <c r="D21" s="37">
        <v>7213.7593045261347</v>
      </c>
      <c r="E21" s="37">
        <v>7076.5266372333335</v>
      </c>
      <c r="F21" s="37">
        <v>7610.3967639015209</v>
      </c>
      <c r="G21" s="37">
        <v>2630.6018685671434</v>
      </c>
      <c r="H21" s="37">
        <v>2764.0131023011495</v>
      </c>
      <c r="I21" s="37">
        <v>2804.6021213295835</v>
      </c>
      <c r="J21" s="37">
        <v>2767.4715829438001</v>
      </c>
      <c r="K21" s="37">
        <v>2869.6919975599558</v>
      </c>
      <c r="L21" s="37">
        <v>3007.5228352616982</v>
      </c>
      <c r="M21" s="37">
        <v>3059.8935032899481</v>
      </c>
    </row>
    <row r="22" spans="1:13" x14ac:dyDescent="0.2">
      <c r="A22" t="s">
        <v>7</v>
      </c>
      <c r="B22" s="37">
        <v>6051.7692127500832</v>
      </c>
      <c r="C22" s="37">
        <v>5865.3590825340007</v>
      </c>
      <c r="D22" s="37">
        <v>5896.2757973168673</v>
      </c>
      <c r="E22" s="37">
        <v>6145.7339920314625</v>
      </c>
      <c r="F22" s="37">
        <v>5813.9261328356069</v>
      </c>
      <c r="G22" s="37">
        <v>5650.2050305343964</v>
      </c>
      <c r="H22" s="37">
        <v>6633.2449314944679</v>
      </c>
      <c r="I22" s="37">
        <v>6646.9295132731104</v>
      </c>
      <c r="J22" s="37">
        <v>6578.0065278268985</v>
      </c>
      <c r="K22" s="37">
        <v>6525.5353360974295</v>
      </c>
      <c r="L22" s="37">
        <v>6914.3506815792571</v>
      </c>
      <c r="M22" s="37">
        <v>6476.2849084161262</v>
      </c>
    </row>
    <row r="23" spans="1:13" x14ac:dyDescent="0.2">
      <c r="A23" t="s">
        <v>8</v>
      </c>
      <c r="B23" s="50">
        <v>0</v>
      </c>
      <c r="C23" s="50">
        <v>0</v>
      </c>
      <c r="D23" s="50">
        <v>0</v>
      </c>
      <c r="E23" s="50">
        <v>0</v>
      </c>
      <c r="F23" s="50">
        <v>0</v>
      </c>
      <c r="G23" s="50">
        <v>0</v>
      </c>
      <c r="H23" s="50">
        <v>0</v>
      </c>
      <c r="I23" s="50">
        <v>0</v>
      </c>
      <c r="J23" s="50">
        <v>0</v>
      </c>
      <c r="K23" s="50">
        <v>0</v>
      </c>
      <c r="L23" s="50">
        <v>0</v>
      </c>
      <c r="M23" s="50">
        <v>0</v>
      </c>
    </row>
    <row r="24" spans="1:13" ht="13.5" thickBot="1" x14ac:dyDescent="0.25">
      <c r="A24" s="6"/>
      <c r="B24" s="46"/>
      <c r="C24" s="46"/>
      <c r="D24" s="46"/>
      <c r="E24" s="46"/>
      <c r="F24" s="46"/>
      <c r="G24" s="46"/>
      <c r="H24" s="46"/>
      <c r="I24" s="46"/>
      <c r="J24" s="46"/>
      <c r="K24" s="46"/>
      <c r="L24" s="46"/>
      <c r="M24" s="46"/>
    </row>
    <row r="25" spans="1:13" x14ac:dyDescent="0.2">
      <c r="A25" s="1" t="s">
        <v>9</v>
      </c>
      <c r="B25" s="49">
        <f t="shared" ref="B25:G25" si="4">B9+B19</f>
        <v>1956646.7409186391</v>
      </c>
      <c r="C25" s="49">
        <f t="shared" si="4"/>
        <v>1981327.5746034866</v>
      </c>
      <c r="D25" s="49">
        <f t="shared" si="4"/>
        <v>1970125.8705507251</v>
      </c>
      <c r="E25" s="49">
        <f t="shared" si="4"/>
        <v>1969298.2409320788</v>
      </c>
      <c r="F25" s="49">
        <f t="shared" si="4"/>
        <v>1965582.7903388962</v>
      </c>
      <c r="G25" s="49">
        <f t="shared" si="4"/>
        <v>2017534.6224306168</v>
      </c>
      <c r="H25" s="49">
        <f t="shared" ref="H25:M25" si="5">H9+H19</f>
        <v>1985109.2941338317</v>
      </c>
      <c r="I25" s="49">
        <f t="shared" si="5"/>
        <v>2016022.5376886313</v>
      </c>
      <c r="J25" s="49">
        <f t="shared" si="5"/>
        <v>2020337.5681091659</v>
      </c>
      <c r="K25" s="49">
        <f t="shared" si="5"/>
        <v>2050187.827057448</v>
      </c>
      <c r="L25" s="49">
        <f t="shared" si="5"/>
        <v>2097256.1536327368</v>
      </c>
      <c r="M25" s="49">
        <f t="shared" si="5"/>
        <v>2150506.6618436002</v>
      </c>
    </row>
    <row r="26" spans="1:13" x14ac:dyDescent="0.2">
      <c r="A26" s="20"/>
      <c r="B26" s="20"/>
      <c r="C26" s="20"/>
      <c r="D26" s="20"/>
      <c r="E26" s="20"/>
      <c r="F26" s="20"/>
      <c r="G26" s="20"/>
      <c r="H26" s="20"/>
      <c r="I26" s="20"/>
      <c r="J26" s="20"/>
      <c r="K26" s="20"/>
      <c r="L26" s="20"/>
      <c r="M26" s="20"/>
    </row>
    <row r="27" spans="1:13" ht="33.75" customHeight="1" x14ac:dyDescent="0.2">
      <c r="A27" s="96" t="s">
        <v>28</v>
      </c>
      <c r="B27" s="96"/>
      <c r="C27" s="96"/>
      <c r="D27" s="96"/>
      <c r="E27" s="96"/>
      <c r="F27" s="96"/>
      <c r="G27" s="96"/>
      <c r="H27" s="96"/>
      <c r="I27" s="96"/>
      <c r="J27" s="96"/>
      <c r="K27" s="96"/>
      <c r="L27" s="96"/>
      <c r="M27" s="96"/>
    </row>
    <row r="28" spans="1:13" ht="12" customHeight="1" x14ac:dyDescent="0.2">
      <c r="A28" s="95" t="s">
        <v>29</v>
      </c>
      <c r="B28" s="95"/>
      <c r="C28" s="95"/>
      <c r="D28" s="95"/>
      <c r="E28" s="95"/>
      <c r="F28" s="95"/>
      <c r="G28" s="55"/>
    </row>
    <row r="29" spans="1:13" ht="12.75" customHeight="1" x14ac:dyDescent="0.2">
      <c r="A29" s="95"/>
      <c r="B29" s="95"/>
      <c r="C29" s="95"/>
      <c r="D29" s="95"/>
      <c r="E29" s="95"/>
      <c r="F29" s="95"/>
      <c r="G29" s="95"/>
    </row>
    <row r="30" spans="1:13" x14ac:dyDescent="0.2">
      <c r="A30" s="7"/>
    </row>
    <row r="31" spans="1:13" x14ac:dyDescent="0.2">
      <c r="A31" s="7"/>
    </row>
    <row r="32" spans="1:13" x14ac:dyDescent="0.2">
      <c r="A32" s="7"/>
    </row>
    <row r="33" spans="1:1" x14ac:dyDescent="0.2">
      <c r="A33" s="7"/>
    </row>
  </sheetData>
  <mergeCells count="3">
    <mergeCell ref="A29:G29"/>
    <mergeCell ref="A28:F28"/>
    <mergeCell ref="A27:M27"/>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3"/>
  <sheetViews>
    <sheetView workbookViewId="0">
      <pane xSplit="1" topLeftCell="D1" activePane="topRight" state="frozen"/>
      <selection activeCell="E1" sqref="E1:G2"/>
      <selection pane="topRight" activeCell="I9" sqref="I9"/>
    </sheetView>
  </sheetViews>
  <sheetFormatPr defaultRowHeight="12.75" x14ac:dyDescent="0.2"/>
  <cols>
    <col min="1" max="1" width="41.85546875" customWidth="1"/>
    <col min="2" max="74" width="13.7109375" customWidth="1"/>
  </cols>
  <sheetData>
    <row r="1" spans="1:15" ht="26.25" x14ac:dyDescent="0.4">
      <c r="A1" s="13" t="s">
        <v>20</v>
      </c>
      <c r="B1" s="14" t="s">
        <v>18</v>
      </c>
      <c r="C1" s="14"/>
      <c r="D1" s="15"/>
    </row>
    <row r="2" spans="1:15" x14ac:dyDescent="0.2">
      <c r="A2" s="14"/>
      <c r="B2" s="15"/>
      <c r="C2" s="15"/>
      <c r="D2" s="15"/>
    </row>
    <row r="3" spans="1:15" x14ac:dyDescent="0.2">
      <c r="A3" s="17" t="s">
        <v>21</v>
      </c>
    </row>
    <row r="4" spans="1:15" x14ac:dyDescent="0.2">
      <c r="A4" s="17" t="s">
        <v>22</v>
      </c>
    </row>
    <row r="6" spans="1:15" x14ac:dyDescent="0.2">
      <c r="A6" s="1" t="s">
        <v>16</v>
      </c>
      <c r="I6" s="3"/>
      <c r="J6" s="3"/>
      <c r="K6" s="3"/>
      <c r="L6" s="3"/>
      <c r="M6" s="3"/>
    </row>
    <row r="7" spans="1:15" x14ac:dyDescent="0.2">
      <c r="A7" s="1" t="s">
        <v>23</v>
      </c>
    </row>
    <row r="8" spans="1:15" ht="13.5" thickBot="1" x14ac:dyDescent="0.25">
      <c r="B8" s="21">
        <v>41640</v>
      </c>
      <c r="C8" s="21">
        <v>41671</v>
      </c>
      <c r="D8" s="21">
        <v>41699</v>
      </c>
      <c r="E8" s="21">
        <v>41730</v>
      </c>
      <c r="F8" s="21">
        <v>41760</v>
      </c>
      <c r="G8" s="21">
        <v>41791</v>
      </c>
      <c r="H8" s="21">
        <v>41821</v>
      </c>
      <c r="I8" s="21">
        <v>41852</v>
      </c>
      <c r="J8" s="21">
        <v>41883</v>
      </c>
      <c r="K8" s="21">
        <v>41913</v>
      </c>
      <c r="L8" s="21">
        <v>41944</v>
      </c>
      <c r="M8" s="21">
        <v>41974</v>
      </c>
    </row>
    <row r="9" spans="1:15" ht="13.5" thickBot="1" x14ac:dyDescent="0.25">
      <c r="A9" s="19" t="s">
        <v>10</v>
      </c>
      <c r="B9" s="47">
        <f t="shared" ref="B9:H9" si="0">SUM(B10:B17)</f>
        <v>1976439.39867</v>
      </c>
      <c r="C9" s="47">
        <f t="shared" si="0"/>
        <v>1999077.2882199998</v>
      </c>
      <c r="D9" s="47">
        <f t="shared" si="0"/>
        <v>2020504.5649600001</v>
      </c>
      <c r="E9" s="47">
        <f t="shared" si="0"/>
        <v>1986810.9671499999</v>
      </c>
      <c r="F9" s="47">
        <f t="shared" si="0"/>
        <v>2056461.7453299998</v>
      </c>
      <c r="G9" s="47">
        <f t="shared" si="0"/>
        <v>2138381.4373699999</v>
      </c>
      <c r="H9" s="47">
        <f t="shared" si="0"/>
        <v>2106654.1356899999</v>
      </c>
      <c r="I9" s="47">
        <f>SUM(I10:I17)</f>
        <v>2099935.7513600001</v>
      </c>
      <c r="J9" s="47">
        <f>SUM(J10:J17)</f>
        <v>2102768.8143499997</v>
      </c>
      <c r="K9" s="47">
        <f>SUM(K10:K17)</f>
        <v>2074792.2187692299</v>
      </c>
      <c r="L9" s="47">
        <f>SUM(L10:L17)</f>
        <v>2124331.12144086</v>
      </c>
      <c r="M9" s="47">
        <f>SUM(M10:M17)</f>
        <v>2208626.4137500003</v>
      </c>
      <c r="N9" s="3"/>
    </row>
    <row r="10" spans="1:15" x14ac:dyDescent="0.2">
      <c r="A10" t="s">
        <v>0</v>
      </c>
      <c r="B10" s="37">
        <v>587062.41799999995</v>
      </c>
      <c r="C10" s="37">
        <v>600123.848</v>
      </c>
      <c r="D10" s="37">
        <v>633114.86100000003</v>
      </c>
      <c r="E10" s="37">
        <v>571736.29399999999</v>
      </c>
      <c r="F10" s="37">
        <v>613215.70799999998</v>
      </c>
      <c r="G10" s="37">
        <v>656480.83200000005</v>
      </c>
      <c r="H10" s="37">
        <v>613687.804</v>
      </c>
      <c r="I10" s="37">
        <v>641086.51199999999</v>
      </c>
      <c r="J10" s="37">
        <v>668035.19099999999</v>
      </c>
      <c r="K10" s="37">
        <v>611167.38199999998</v>
      </c>
      <c r="L10" s="37">
        <f>(643405309)/1000</f>
        <v>643405.30900000001</v>
      </c>
      <c r="M10" s="37">
        <v>685546.65700000001</v>
      </c>
      <c r="N10" s="51"/>
      <c r="O10" s="51"/>
    </row>
    <row r="11" spans="1:15" x14ac:dyDescent="0.2">
      <c r="A11" t="s">
        <v>19</v>
      </c>
      <c r="B11" s="37">
        <f>(404934344+177442+375292)/1000</f>
        <v>405487.07799999998</v>
      </c>
      <c r="C11" s="37">
        <f>(415891611+155538+378209)/1000</f>
        <v>416425.35800000001</v>
      </c>
      <c r="D11" s="37">
        <f>(376068171+132200+381053)/1000</f>
        <v>376581.424</v>
      </c>
      <c r="E11" s="37">
        <f>(388243849+112018+384137)/1000</f>
        <v>388740.00400000002</v>
      </c>
      <c r="F11" s="37">
        <f>(401066067+91524+387412)/1000</f>
        <v>401545.00300000003</v>
      </c>
      <c r="G11" s="37">
        <f>(410882425+73664+390557)/1000</f>
        <v>411346.64600000001</v>
      </c>
      <c r="H11" s="37">
        <v>421598.79</v>
      </c>
      <c r="I11" s="37">
        <f>(428026911+37072+397576)/1000</f>
        <v>428461.55900000001</v>
      </c>
      <c r="J11" s="37">
        <f>(390220170+30904+401135)/1000</f>
        <v>390652.20899999997</v>
      </c>
      <c r="K11" s="37">
        <f>(399887785+24628+404900)/1000</f>
        <v>400317.31300000002</v>
      </c>
      <c r="L11" s="37">
        <f>(407488248+18207+408264)/1000</f>
        <v>407914.71899999998</v>
      </c>
      <c r="M11" s="37">
        <f>(418146571+11687+412142)/1000</f>
        <v>418570.4</v>
      </c>
    </row>
    <row r="12" spans="1:15" x14ac:dyDescent="0.2">
      <c r="A12" t="s">
        <v>1</v>
      </c>
      <c r="B12" s="37">
        <v>69141.485000000001</v>
      </c>
      <c r="C12" s="37">
        <v>69864.013999999996</v>
      </c>
      <c r="D12" s="37">
        <v>71583.649000000005</v>
      </c>
      <c r="E12" s="37">
        <v>72045.986000000004</v>
      </c>
      <c r="F12" s="37">
        <v>72513.694000000003</v>
      </c>
      <c r="G12" s="37">
        <v>72537.896999999997</v>
      </c>
      <c r="H12" s="37">
        <v>69753.376000000004</v>
      </c>
      <c r="I12" s="37">
        <v>70111.301999999996</v>
      </c>
      <c r="J12" s="37">
        <v>70799.118000000002</v>
      </c>
      <c r="K12" s="37">
        <v>70894.168999999994</v>
      </c>
      <c r="L12" s="37">
        <v>72146.812000000005</v>
      </c>
      <c r="M12" s="37">
        <v>73163.023000000001</v>
      </c>
    </row>
    <row r="13" spans="1:15" x14ac:dyDescent="0.2">
      <c r="A13" t="s">
        <v>24</v>
      </c>
      <c r="B13" s="37">
        <v>681216.92799999996</v>
      </c>
      <c r="C13" s="37">
        <v>676944.245</v>
      </c>
      <c r="D13" s="37">
        <v>693469.07</v>
      </c>
      <c r="E13" s="37">
        <v>703756.60900000005</v>
      </c>
      <c r="F13" s="37">
        <v>710443.01</v>
      </c>
      <c r="G13" s="37">
        <v>727626.51699999999</v>
      </c>
      <c r="H13" s="37">
        <v>737239.84100000001</v>
      </c>
      <c r="I13" s="37">
        <v>687995.84299999999</v>
      </c>
      <c r="J13" s="37">
        <v>697719.39300000004</v>
      </c>
      <c r="K13" s="37">
        <v>708602.88</v>
      </c>
      <c r="L13" s="37">
        <v>712421.51300000004</v>
      </c>
      <c r="M13" s="37">
        <v>732701.54299999995</v>
      </c>
    </row>
    <row r="14" spans="1:15" x14ac:dyDescent="0.2">
      <c r="A14" t="s">
        <v>25</v>
      </c>
      <c r="B14" s="37">
        <v>197212.09899999999</v>
      </c>
      <c r="C14" s="37">
        <v>199881.035</v>
      </c>
      <c r="D14" s="37">
        <v>209968.60200000001</v>
      </c>
      <c r="E14" s="37">
        <v>214755.579</v>
      </c>
      <c r="F14" s="37">
        <v>222227.359</v>
      </c>
      <c r="G14" s="37">
        <v>234138.25599999999</v>
      </c>
      <c r="H14" s="37">
        <v>227988.20800000001</v>
      </c>
      <c r="I14" s="37">
        <v>236304.715</v>
      </c>
      <c r="J14" s="37">
        <v>238502.73199999999</v>
      </c>
      <c r="K14" s="37">
        <v>246421.30300000001</v>
      </c>
      <c r="L14" s="37">
        <v>250526.807</v>
      </c>
      <c r="M14" s="37">
        <v>260358.12299999999</v>
      </c>
    </row>
    <row r="15" spans="1:15" x14ac:dyDescent="0.2">
      <c r="A15" t="s">
        <v>27</v>
      </c>
      <c r="B15" s="37">
        <v>7534.4009999999998</v>
      </c>
      <c r="C15" s="37">
        <v>7497.0882199999996</v>
      </c>
      <c r="D15" s="37">
        <v>7461.0399600000001</v>
      </c>
      <c r="E15" s="37">
        <v>7424.9453899999999</v>
      </c>
      <c r="F15" s="37">
        <v>7385.6739900000002</v>
      </c>
      <c r="G15" s="37">
        <v>7342.8377799999998</v>
      </c>
      <c r="H15" s="37">
        <v>7277.5524599999999</v>
      </c>
      <c r="I15" s="37">
        <v>7237.0388499999999</v>
      </c>
      <c r="J15" s="37">
        <v>7199.3944499999998</v>
      </c>
      <c r="K15" s="37">
        <v>7131.2401399999999</v>
      </c>
      <c r="L15" s="37">
        <v>7087.0434299999997</v>
      </c>
      <c r="M15" s="37">
        <v>7054.0627599999998</v>
      </c>
    </row>
    <row r="16" spans="1:15" x14ac:dyDescent="0.2">
      <c r="A16" t="s">
        <v>3</v>
      </c>
      <c r="B16" s="37">
        <v>3121.1895499999996</v>
      </c>
      <c r="C16" s="37">
        <v>3136.3816099999999</v>
      </c>
      <c r="D16" s="37">
        <v>3043.4095499999999</v>
      </c>
      <c r="E16" s="37">
        <v>3124.5002000000004</v>
      </c>
      <c r="F16" s="37">
        <v>3061.3135899999997</v>
      </c>
      <c r="G16" s="37">
        <v>3008.7276000000002</v>
      </c>
      <c r="H16" s="37">
        <v>2943.931</v>
      </c>
      <c r="I16" s="37">
        <v>2931.5489400000001</v>
      </c>
      <c r="J16" s="37">
        <v>3065.9190800000001</v>
      </c>
      <c r="K16" s="37">
        <v>2956.0925192300001</v>
      </c>
      <c r="L16" s="37">
        <v>2951.9826008600003</v>
      </c>
      <c r="M16" s="37">
        <v>2862.3323700000001</v>
      </c>
    </row>
    <row r="17" spans="1:13" x14ac:dyDescent="0.2">
      <c r="A17" t="s">
        <v>4</v>
      </c>
      <c r="B17" s="37">
        <v>25663.80012</v>
      </c>
      <c r="C17" s="37">
        <v>25205.31839</v>
      </c>
      <c r="D17" s="37">
        <v>25282.509449999998</v>
      </c>
      <c r="E17" s="37">
        <v>25227.049560000003</v>
      </c>
      <c r="F17" s="37">
        <v>26069.983749999999</v>
      </c>
      <c r="G17" s="37">
        <v>25899.723990000002</v>
      </c>
      <c r="H17" s="37">
        <v>26164.633229999999</v>
      </c>
      <c r="I17" s="37">
        <v>25807.23257</v>
      </c>
      <c r="J17" s="37">
        <v>26794.857820000001</v>
      </c>
      <c r="K17" s="37">
        <v>27301.839110000001</v>
      </c>
      <c r="L17" s="37">
        <v>27876.935410000002</v>
      </c>
      <c r="M17" s="37">
        <v>28370.27262</v>
      </c>
    </row>
    <row r="18" spans="1:13" x14ac:dyDescent="0.2">
      <c r="B18" s="45"/>
      <c r="C18" s="45"/>
      <c r="D18" s="45"/>
      <c r="E18" s="45"/>
      <c r="F18" s="45"/>
      <c r="G18" s="45"/>
      <c r="H18" s="45"/>
      <c r="I18" s="45"/>
      <c r="J18" s="45"/>
      <c r="K18" s="45"/>
      <c r="L18" s="45"/>
      <c r="M18" s="45"/>
    </row>
    <row r="19" spans="1:13" ht="13.5" thickBot="1" x14ac:dyDescent="0.25">
      <c r="A19" s="2" t="s">
        <v>11</v>
      </c>
      <c r="B19" s="48">
        <f t="shared" ref="B19:H19" si="1">SUM(B20:B23)</f>
        <v>97271.696559049771</v>
      </c>
      <c r="C19" s="48">
        <f t="shared" si="1"/>
        <v>93346.196804978012</v>
      </c>
      <c r="D19" s="48">
        <f t="shared" si="1"/>
        <v>91395.288372293522</v>
      </c>
      <c r="E19" s="48">
        <f t="shared" si="1"/>
        <v>93771.26645298909</v>
      </c>
      <c r="F19" s="48">
        <f t="shared" si="1"/>
        <v>94099.140969805871</v>
      </c>
      <c r="G19" s="48">
        <f t="shared" si="1"/>
        <v>92575.804251910537</v>
      </c>
      <c r="H19" s="48">
        <f t="shared" si="1"/>
        <v>92093.029093888836</v>
      </c>
      <c r="I19" s="48">
        <f>SUM(I20:I23)</f>
        <v>95491.367544024281</v>
      </c>
      <c r="J19" s="48">
        <f>SUM(J20:J23)</f>
        <v>105650.96512292088</v>
      </c>
      <c r="K19" s="48">
        <f>SUM(K20:K23)</f>
        <v>105586.50165939431</v>
      </c>
      <c r="L19" s="48">
        <f>SUM(L20:L23)</f>
        <v>110060.15406627662</v>
      </c>
      <c r="M19" s="48">
        <f>SUM(M20:M23)</f>
        <v>113335.18614026345</v>
      </c>
    </row>
    <row r="20" spans="1:13" x14ac:dyDescent="0.2">
      <c r="A20" t="s">
        <v>5</v>
      </c>
      <c r="B20" s="37">
        <v>86892.62913861846</v>
      </c>
      <c r="C20" s="37">
        <v>83032.779536012051</v>
      </c>
      <c r="D20" s="37">
        <v>81303.320377407275</v>
      </c>
      <c r="E20" s="37">
        <v>83885.029542307529</v>
      </c>
      <c r="F20" s="37">
        <v>84136.707541440162</v>
      </c>
      <c r="G20" s="37">
        <v>83355.986460102562</v>
      </c>
      <c r="H20" s="37">
        <v>82691.962564129251</v>
      </c>
      <c r="I20" s="37">
        <v>86268.661541663139</v>
      </c>
      <c r="J20" s="37">
        <v>95763.138064540166</v>
      </c>
      <c r="K20" s="37">
        <v>95772.770053253174</v>
      </c>
      <c r="L20" s="37">
        <v>99834.832551474537</v>
      </c>
      <c r="M20" s="37">
        <v>103508.15912590096</v>
      </c>
    </row>
    <row r="21" spans="1:13" x14ac:dyDescent="0.2">
      <c r="A21" t="s">
        <v>6</v>
      </c>
      <c r="B21" s="37">
        <v>3133.5065612246285</v>
      </c>
      <c r="C21" s="37">
        <v>3023.9018823815518</v>
      </c>
      <c r="D21" s="37">
        <v>2942.0314093549496</v>
      </c>
      <c r="E21" s="37">
        <v>2924.5009785451202</v>
      </c>
      <c r="F21" s="37">
        <v>2914.4866768442503</v>
      </c>
      <c r="G21" s="37">
        <v>2912.3065268894002</v>
      </c>
      <c r="H21" s="37">
        <v>2983.4541729419639</v>
      </c>
      <c r="I21" s="37">
        <v>2954.1210001437203</v>
      </c>
      <c r="J21" s="37">
        <v>3253.8387590802599</v>
      </c>
      <c r="K21" s="37">
        <v>3258.7512342413602</v>
      </c>
      <c r="L21" s="37">
        <v>3381.7169813260939</v>
      </c>
      <c r="M21" s="37">
        <v>3525.3217256364901</v>
      </c>
    </row>
    <row r="22" spans="1:13" x14ac:dyDescent="0.2">
      <c r="A22" t="s">
        <v>7</v>
      </c>
      <c r="B22" s="37">
        <v>7245.5608592066801</v>
      </c>
      <c r="C22" s="37">
        <v>7289.5153865844022</v>
      </c>
      <c r="D22" s="37">
        <v>7149.9365855312981</v>
      </c>
      <c r="E22" s="37">
        <v>6961.7359321364411</v>
      </c>
      <c r="F22" s="37">
        <v>7047.946751521461</v>
      </c>
      <c r="G22" s="37">
        <v>6307.5112649185767</v>
      </c>
      <c r="H22" s="37">
        <v>6417.6123568176263</v>
      </c>
      <c r="I22" s="37">
        <v>6268.5850022174291</v>
      </c>
      <c r="J22" s="37">
        <v>6633.988299300453</v>
      </c>
      <c r="K22" s="37">
        <v>6554.9803718997846</v>
      </c>
      <c r="L22" s="37">
        <v>6843.6045334759856</v>
      </c>
      <c r="M22" s="37">
        <v>6301.7052887260106</v>
      </c>
    </row>
    <row r="23" spans="1:13" x14ac:dyDescent="0.2">
      <c r="A23" t="s">
        <v>8</v>
      </c>
      <c r="B23" s="50">
        <v>0</v>
      </c>
      <c r="C23" s="50">
        <v>0</v>
      </c>
      <c r="D23" s="50">
        <v>0</v>
      </c>
      <c r="E23" s="50">
        <v>0</v>
      </c>
      <c r="F23" s="50">
        <v>0</v>
      </c>
      <c r="G23" s="50">
        <v>0</v>
      </c>
      <c r="H23" s="50">
        <v>0</v>
      </c>
      <c r="I23" s="50">
        <v>0</v>
      </c>
      <c r="J23" s="50">
        <v>0</v>
      </c>
      <c r="K23" s="50">
        <v>0</v>
      </c>
      <c r="L23" s="50">
        <v>0</v>
      </c>
      <c r="M23" s="50">
        <v>0</v>
      </c>
    </row>
    <row r="24" spans="1:13" ht="13.5" thickBot="1" x14ac:dyDescent="0.25">
      <c r="A24" s="6"/>
      <c r="B24" s="46"/>
      <c r="C24" s="46"/>
      <c r="D24" s="46"/>
      <c r="E24" s="46"/>
      <c r="F24" s="46"/>
      <c r="G24" s="46"/>
      <c r="H24" s="46"/>
      <c r="I24" s="46"/>
      <c r="J24" s="46"/>
      <c r="K24" s="46"/>
      <c r="L24" s="46"/>
      <c r="M24" s="46"/>
    </row>
    <row r="25" spans="1:13" x14ac:dyDescent="0.2">
      <c r="A25" s="1" t="s">
        <v>9</v>
      </c>
      <c r="B25" s="49">
        <f t="shared" ref="B25:H25" si="2">B9+B19</f>
        <v>2073711.0952290497</v>
      </c>
      <c r="C25" s="49">
        <f t="shared" si="2"/>
        <v>2092423.4850249777</v>
      </c>
      <c r="D25" s="49">
        <f t="shared" si="2"/>
        <v>2111899.8533322937</v>
      </c>
      <c r="E25" s="49">
        <f t="shared" si="2"/>
        <v>2080582.233602989</v>
      </c>
      <c r="F25" s="49">
        <f t="shared" si="2"/>
        <v>2150560.8862998057</v>
      </c>
      <c r="G25" s="49">
        <f t="shared" si="2"/>
        <v>2230957.2416219106</v>
      </c>
      <c r="H25" s="49">
        <f t="shared" si="2"/>
        <v>2198747.164783889</v>
      </c>
      <c r="I25" s="49">
        <f t="shared" ref="I25:M25" si="3">I9+I19</f>
        <v>2195427.1189040244</v>
      </c>
      <c r="J25" s="49">
        <f t="shared" si="3"/>
        <v>2208419.7794729206</v>
      </c>
      <c r="K25" s="49">
        <f t="shared" si="3"/>
        <v>2180378.7204286242</v>
      </c>
      <c r="L25" s="49">
        <f t="shared" si="3"/>
        <v>2234391.2755071367</v>
      </c>
      <c r="M25" s="49">
        <f t="shared" si="3"/>
        <v>2321961.5998902638</v>
      </c>
    </row>
    <row r="26" spans="1:13" x14ac:dyDescent="0.2">
      <c r="A26" s="20"/>
      <c r="B26" s="20"/>
      <c r="C26" s="20"/>
      <c r="D26" s="20"/>
      <c r="E26" s="20"/>
      <c r="F26" s="20"/>
      <c r="G26" s="20"/>
      <c r="H26" s="20"/>
      <c r="I26" s="20"/>
      <c r="J26" s="20"/>
      <c r="K26" s="20"/>
      <c r="L26" s="20"/>
      <c r="M26" s="20"/>
    </row>
    <row r="27" spans="1:13" ht="36" customHeight="1" x14ac:dyDescent="0.2">
      <c r="A27" s="96" t="s">
        <v>28</v>
      </c>
      <c r="B27" s="96"/>
      <c r="C27" s="96"/>
      <c r="D27" s="96"/>
      <c r="E27" s="96"/>
      <c r="F27" s="96"/>
      <c r="G27" s="96"/>
      <c r="H27" s="96"/>
      <c r="I27" s="96"/>
      <c r="J27" s="96"/>
      <c r="K27" s="96"/>
      <c r="L27" s="96"/>
      <c r="M27" s="96"/>
    </row>
    <row r="28" spans="1:13" ht="12.75" customHeight="1" x14ac:dyDescent="0.2">
      <c r="A28" s="95" t="s">
        <v>30</v>
      </c>
      <c r="B28" s="95"/>
      <c r="C28" s="95"/>
      <c r="D28" s="95"/>
      <c r="E28" s="55"/>
      <c r="F28" s="55"/>
      <c r="G28" s="55"/>
      <c r="H28" s="55"/>
    </row>
    <row r="29" spans="1:13" ht="12.75" customHeight="1" x14ac:dyDescent="0.2">
      <c r="A29" s="95"/>
      <c r="B29" s="95"/>
      <c r="C29" s="95"/>
      <c r="D29" s="95"/>
      <c r="E29" s="95"/>
      <c r="F29" s="95"/>
      <c r="G29" s="95"/>
    </row>
    <row r="30" spans="1:13" x14ac:dyDescent="0.2">
      <c r="A30" s="7"/>
    </row>
    <row r="31" spans="1:13" x14ac:dyDescent="0.2">
      <c r="A31" s="7"/>
    </row>
    <row r="32" spans="1:13" x14ac:dyDescent="0.2">
      <c r="A32" s="7"/>
    </row>
    <row r="33" spans="1:1" x14ac:dyDescent="0.2">
      <c r="A33" s="7"/>
    </row>
  </sheetData>
  <mergeCells count="3">
    <mergeCell ref="A29:G29"/>
    <mergeCell ref="A28:D28"/>
    <mergeCell ref="A27:M27"/>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33"/>
  <sheetViews>
    <sheetView workbookViewId="0">
      <pane xSplit="1" topLeftCell="D1" activePane="topRight" state="frozen"/>
      <selection activeCell="E1" sqref="E1:G2"/>
      <selection pane="topRight" activeCell="A27" sqref="A27:M27"/>
    </sheetView>
  </sheetViews>
  <sheetFormatPr defaultRowHeight="12.75" x14ac:dyDescent="0.2"/>
  <cols>
    <col min="1" max="1" width="41.85546875" customWidth="1"/>
    <col min="2" max="74" width="13.7109375" customWidth="1"/>
  </cols>
  <sheetData>
    <row r="1" spans="1:13" ht="26.25" x14ac:dyDescent="0.4">
      <c r="A1" s="13" t="s">
        <v>20</v>
      </c>
      <c r="B1" s="14" t="s">
        <v>18</v>
      </c>
      <c r="C1" s="14"/>
      <c r="D1" s="15"/>
    </row>
    <row r="2" spans="1:13" x14ac:dyDescent="0.2">
      <c r="A2" s="14"/>
      <c r="B2" s="15"/>
      <c r="C2" s="15"/>
      <c r="D2" s="15"/>
    </row>
    <row r="3" spans="1:13" x14ac:dyDescent="0.2">
      <c r="A3" s="17" t="s">
        <v>21</v>
      </c>
    </row>
    <row r="4" spans="1:13" x14ac:dyDescent="0.2">
      <c r="A4" s="17" t="s">
        <v>22</v>
      </c>
    </row>
    <row r="6" spans="1:13" x14ac:dyDescent="0.2">
      <c r="A6" s="1" t="s">
        <v>16</v>
      </c>
      <c r="I6" s="3"/>
      <c r="J6" s="3"/>
      <c r="K6" s="3"/>
      <c r="L6" s="3"/>
      <c r="M6" s="3"/>
    </row>
    <row r="7" spans="1:13" x14ac:dyDescent="0.2">
      <c r="A7" s="1" t="s">
        <v>23</v>
      </c>
    </row>
    <row r="8" spans="1:13" ht="13.5" thickBot="1" x14ac:dyDescent="0.25">
      <c r="B8" s="21">
        <v>42005</v>
      </c>
      <c r="C8" s="21">
        <v>42036</v>
      </c>
      <c r="D8" s="21">
        <v>42064</v>
      </c>
      <c r="E8" s="21">
        <v>42095</v>
      </c>
      <c r="F8" s="21">
        <v>42125</v>
      </c>
      <c r="G8" s="21">
        <v>42156</v>
      </c>
      <c r="H8" s="21">
        <v>42186</v>
      </c>
      <c r="I8" s="21">
        <v>42217</v>
      </c>
      <c r="J8" s="21">
        <v>42248</v>
      </c>
      <c r="K8" s="21">
        <v>42278</v>
      </c>
      <c r="L8" s="21">
        <v>42309</v>
      </c>
      <c r="M8" s="21">
        <v>42339</v>
      </c>
    </row>
    <row r="9" spans="1:13" ht="13.5" thickBot="1" x14ac:dyDescent="0.25">
      <c r="A9" s="19" t="s">
        <v>10</v>
      </c>
      <c r="B9" s="47">
        <f t="shared" ref="B9:G9" si="0">SUM(B10:B17)</f>
        <v>2165710.5428499994</v>
      </c>
      <c r="C9" s="47">
        <f t="shared" si="0"/>
        <v>2240907.1787399999</v>
      </c>
      <c r="D9" s="47">
        <f t="shared" si="0"/>
        <v>2344765.0844504698</v>
      </c>
      <c r="E9" s="47">
        <f t="shared" si="0"/>
        <v>2360690.27086529</v>
      </c>
      <c r="F9" s="47">
        <f t="shared" si="0"/>
        <v>2398672.5522999996</v>
      </c>
      <c r="G9" s="47">
        <f t="shared" si="0"/>
        <v>2489783.6310207499</v>
      </c>
      <c r="H9" s="47">
        <f t="shared" ref="H9:M9" si="1">SUM(H10:H17)</f>
        <v>2501624.4982040203</v>
      </c>
      <c r="I9" s="47">
        <f t="shared" si="1"/>
        <v>2575880.4168999996</v>
      </c>
      <c r="J9" s="47">
        <f t="shared" si="1"/>
        <v>2615015.1362900003</v>
      </c>
      <c r="K9" s="47">
        <f t="shared" si="1"/>
        <v>2531497.3848500005</v>
      </c>
      <c r="L9" s="47">
        <f t="shared" si="1"/>
        <v>2597002.2001100006</v>
      </c>
      <c r="M9" s="47">
        <f t="shared" si="1"/>
        <v>2673901.3186100004</v>
      </c>
    </row>
    <row r="10" spans="1:13" x14ac:dyDescent="0.2">
      <c r="A10" t="s">
        <v>0</v>
      </c>
      <c r="B10" s="37">
        <v>616029.71499999997</v>
      </c>
      <c r="C10" s="37">
        <v>656224.33900000004</v>
      </c>
      <c r="D10" s="37">
        <v>726603.78899999999</v>
      </c>
      <c r="E10" s="37">
        <v>678567.35499999998</v>
      </c>
      <c r="F10" s="37">
        <v>732053.18200000003</v>
      </c>
      <c r="G10" s="37">
        <v>774083.08900000004</v>
      </c>
      <c r="H10" s="37">
        <f>(761606764)/1000</f>
        <v>761606.76399999997</v>
      </c>
      <c r="I10" s="37">
        <v>797718.90399999998</v>
      </c>
      <c r="J10" s="37">
        <v>810540.77300000004</v>
      </c>
      <c r="K10" s="37">
        <v>692507.48199999996</v>
      </c>
      <c r="L10" s="37">
        <v>733238.22100000002</v>
      </c>
      <c r="M10" s="37">
        <v>763671.67500000005</v>
      </c>
    </row>
    <row r="11" spans="1:13" x14ac:dyDescent="0.2">
      <c r="A11" t="s">
        <v>19</v>
      </c>
      <c r="B11" s="37">
        <f>(435289616+9439+415948)/1000</f>
        <v>435715.00300000003</v>
      </c>
      <c r="C11" s="37">
        <f>(456058100+7139+419327)/1000</f>
        <v>456484.56599999999</v>
      </c>
      <c r="D11" s="37">
        <f>(456845610+4810+423642)/1000</f>
        <v>457274.06199999998</v>
      </c>
      <c r="E11" s="37">
        <f>(482440004+2429+427630)/1000</f>
        <v>482870.06300000002</v>
      </c>
      <c r="F11" s="37">
        <f>(494558041+431799)/1000</f>
        <v>494989.84</v>
      </c>
      <c r="G11" s="37">
        <f>(510725838+436292)/1000</f>
        <v>511162.13</v>
      </c>
      <c r="H11" s="37">
        <f>(527543780+441389)/1000</f>
        <v>527985.16899999999</v>
      </c>
      <c r="I11" s="37">
        <f>(561959987+446240)/1000</f>
        <v>562406.22699999996</v>
      </c>
      <c r="J11" s="37">
        <v>576402.89199999999</v>
      </c>
      <c r="K11" s="37">
        <v>590349.87399999995</v>
      </c>
      <c r="L11" s="37">
        <v>603537.02099999995</v>
      </c>
      <c r="M11" s="37">
        <v>625847.88699999999</v>
      </c>
    </row>
    <row r="12" spans="1:13" x14ac:dyDescent="0.2">
      <c r="A12" t="s">
        <v>1</v>
      </c>
      <c r="B12" s="37">
        <v>71757.740999999995</v>
      </c>
      <c r="C12" s="37">
        <v>72510.391000000003</v>
      </c>
      <c r="D12" s="37">
        <v>73793.214000000007</v>
      </c>
      <c r="E12" s="37">
        <v>74535.433999999994</v>
      </c>
      <c r="F12" s="37">
        <v>75423.502999999997</v>
      </c>
      <c r="G12" s="37">
        <v>76523.058999999994</v>
      </c>
      <c r="H12" s="37">
        <v>75009.153999999995</v>
      </c>
      <c r="I12" s="37">
        <v>75517.09</v>
      </c>
      <c r="J12" s="37">
        <v>76825.293999999994</v>
      </c>
      <c r="K12" s="37">
        <v>78155.726999999999</v>
      </c>
      <c r="L12" s="37">
        <v>79102.198000000004</v>
      </c>
      <c r="M12" s="37">
        <v>80120.509000000005</v>
      </c>
    </row>
    <row r="13" spans="1:13" x14ac:dyDescent="0.2">
      <c r="A13" t="s">
        <v>24</v>
      </c>
      <c r="B13" s="37">
        <v>750198.17599999998</v>
      </c>
      <c r="C13" s="37">
        <v>754244.54</v>
      </c>
      <c r="D13" s="37">
        <v>777860.35400000005</v>
      </c>
      <c r="E13" s="37">
        <v>797613.74100000004</v>
      </c>
      <c r="F13" s="37">
        <v>748365.23100000003</v>
      </c>
      <c r="G13" s="37">
        <v>770191.50600000005</v>
      </c>
      <c r="H13" s="37">
        <v>786386.402</v>
      </c>
      <c r="I13" s="37">
        <v>783638.21400000004</v>
      </c>
      <c r="J13" s="37">
        <v>792002.74300000002</v>
      </c>
      <c r="K13" s="37">
        <v>804748.65599999996</v>
      </c>
      <c r="L13" s="37">
        <v>808515.05700000003</v>
      </c>
      <c r="M13" s="37">
        <v>826669.95700000005</v>
      </c>
    </row>
    <row r="14" spans="1:13" x14ac:dyDescent="0.2">
      <c r="A14" t="s">
        <v>25</v>
      </c>
      <c r="B14" s="37">
        <v>253611.766</v>
      </c>
      <c r="C14" s="37">
        <v>262284.03999999998</v>
      </c>
      <c r="D14" s="37">
        <v>269147.44300000003</v>
      </c>
      <c r="E14" s="37">
        <v>287793.90100000001</v>
      </c>
      <c r="F14" s="37">
        <v>308510.62099999998</v>
      </c>
      <c r="G14" s="37">
        <v>317604.35200000001</v>
      </c>
      <c r="H14" s="37">
        <v>307967.00400000002</v>
      </c>
      <c r="I14" s="37">
        <v>312948.05599999998</v>
      </c>
      <c r="J14" s="37">
        <v>313499.04599999997</v>
      </c>
      <c r="K14" s="37">
        <v>317213.23100000003</v>
      </c>
      <c r="L14" s="37">
        <v>324848.51799999998</v>
      </c>
      <c r="M14" s="37">
        <v>330757.18900000001</v>
      </c>
    </row>
    <row r="15" spans="1:13" x14ac:dyDescent="0.2">
      <c r="A15" t="s">
        <v>27</v>
      </c>
      <c r="B15" s="37">
        <v>6944.0740999999998</v>
      </c>
      <c r="C15" s="37">
        <v>6903.3739500000001</v>
      </c>
      <c r="D15" s="37">
        <v>6871.647920469929</v>
      </c>
      <c r="E15" s="37">
        <v>6838.8119052900001</v>
      </c>
      <c r="F15" s="37">
        <v>6831.5604599999997</v>
      </c>
      <c r="G15" s="37">
        <v>6774.7754199999999</v>
      </c>
      <c r="H15" s="37">
        <v>6746.6279800000002</v>
      </c>
      <c r="I15" s="37">
        <v>6716.3211600000004</v>
      </c>
      <c r="J15" s="37">
        <v>6687.9080700000004</v>
      </c>
      <c r="K15" s="37">
        <v>9141.4559900000004</v>
      </c>
      <c r="L15" s="37">
        <v>8869.1827200000007</v>
      </c>
      <c r="M15" s="37">
        <v>7692.5333499999997</v>
      </c>
    </row>
    <row r="16" spans="1:13" x14ac:dyDescent="0.2">
      <c r="A16" t="s">
        <v>3</v>
      </c>
      <c r="B16" s="37">
        <v>2835.4718700000003</v>
      </c>
      <c r="C16" s="37">
        <v>2807.1756700000001</v>
      </c>
      <c r="D16" s="37">
        <v>2778.3891200000003</v>
      </c>
      <c r="E16" s="37">
        <v>2729.91923</v>
      </c>
      <c r="F16" s="37">
        <v>2720.0187099999998</v>
      </c>
      <c r="G16" s="37">
        <v>2682.9979507499961</v>
      </c>
      <c r="H16" s="37">
        <v>2673.6109340200001</v>
      </c>
      <c r="I16" s="37">
        <v>2629.1227699999999</v>
      </c>
      <c r="J16" s="37">
        <v>2612.0637400000001</v>
      </c>
      <c r="K16" s="37">
        <v>2596.6508199999998</v>
      </c>
      <c r="L16" s="37">
        <v>2569.5837700000002</v>
      </c>
      <c r="M16" s="37">
        <v>2471.79907</v>
      </c>
    </row>
    <row r="17" spans="1:13" x14ac:dyDescent="0.2">
      <c r="A17" t="s">
        <v>4</v>
      </c>
      <c r="B17" s="37">
        <v>28618.595880000001</v>
      </c>
      <c r="C17" s="37">
        <v>29448.753120000001</v>
      </c>
      <c r="D17" s="37">
        <v>30436.185410000002</v>
      </c>
      <c r="E17" s="37">
        <v>29741.045730000002</v>
      </c>
      <c r="F17" s="37">
        <v>29778.596129999998</v>
      </c>
      <c r="G17" s="37">
        <v>30761.721649999999</v>
      </c>
      <c r="H17" s="37">
        <v>33249.76629</v>
      </c>
      <c r="I17" s="37">
        <v>34306.481970000001</v>
      </c>
      <c r="J17" s="37">
        <v>36444.416480000007</v>
      </c>
      <c r="K17" s="37">
        <v>36784.308039999996</v>
      </c>
      <c r="L17" s="37">
        <f>(7914+323.62+965260+23401+1398063+3516276+14147068+13636843+2252936+374334)/1000</f>
        <v>36322.418620000004</v>
      </c>
      <c r="M17" s="37">
        <f>(8013+324.19+956904+23570+1436564+2930829+14354989+14311135+2396857+250584)/1000</f>
        <v>36669.769189999999</v>
      </c>
    </row>
    <row r="18" spans="1:13" x14ac:dyDescent="0.2">
      <c r="B18" s="45"/>
      <c r="C18" s="45"/>
      <c r="D18" s="45"/>
      <c r="E18" s="45"/>
      <c r="F18" s="45"/>
      <c r="G18" s="45"/>
      <c r="H18" s="45"/>
      <c r="I18" s="45"/>
      <c r="J18" s="45"/>
      <c r="K18" s="45"/>
      <c r="L18" s="45"/>
      <c r="M18" s="45"/>
    </row>
    <row r="19" spans="1:13" ht="13.5" thickBot="1" x14ac:dyDescent="0.25">
      <c r="A19" s="2" t="s">
        <v>11</v>
      </c>
      <c r="B19" s="48">
        <f t="shared" ref="B19:G19" si="2">SUM(B20:B23)</f>
        <v>110992.11003056972</v>
      </c>
      <c r="C19" s="48">
        <f t="shared" si="2"/>
        <v>117357.96912803718</v>
      </c>
      <c r="D19" s="48">
        <f t="shared" si="2"/>
        <v>126003.52528566468</v>
      </c>
      <c r="E19" s="48">
        <f t="shared" si="2"/>
        <v>118830.29139608357</v>
      </c>
      <c r="F19" s="48">
        <f t="shared" si="2"/>
        <v>125435.91119334227</v>
      </c>
      <c r="G19" s="48">
        <f t="shared" si="2"/>
        <v>122485.24326287421</v>
      </c>
      <c r="H19" s="48">
        <f t="shared" ref="H19:M19" si="3">SUM(H20:H23)</f>
        <v>128853.11176248509</v>
      </c>
      <c r="I19" s="48">
        <f t="shared" si="3"/>
        <v>134959.46639006719</v>
      </c>
      <c r="J19" s="48">
        <f t="shared" si="3"/>
        <v>146567.15085821578</v>
      </c>
      <c r="K19" s="48">
        <f t="shared" si="3"/>
        <v>143089.63797382457</v>
      </c>
      <c r="L19" s="48">
        <f t="shared" si="3"/>
        <v>142278.29854355872</v>
      </c>
      <c r="M19" s="48">
        <f t="shared" si="3"/>
        <v>143502.16444423021</v>
      </c>
    </row>
    <row r="20" spans="1:13" x14ac:dyDescent="0.2">
      <c r="A20" t="s">
        <v>5</v>
      </c>
      <c r="B20" s="37">
        <v>101192.98534593158</v>
      </c>
      <c r="C20" s="37">
        <v>106769.33059531459</v>
      </c>
      <c r="D20" s="37">
        <v>114437.35053932821</v>
      </c>
      <c r="E20" s="37">
        <v>108002.02934876166</v>
      </c>
      <c r="F20" s="37">
        <v>114090.70549643271</v>
      </c>
      <c r="G20" s="37">
        <v>112170.12247463268</v>
      </c>
      <c r="H20" s="37">
        <v>117739.49748965421</v>
      </c>
      <c r="I20" s="37">
        <v>122917.09849312824</v>
      </c>
      <c r="J20" s="37">
        <v>133192.59139186639</v>
      </c>
      <c r="K20" s="37">
        <v>130011.32026303423</v>
      </c>
      <c r="L20" s="37">
        <v>129574.7537163794</v>
      </c>
      <c r="M20" s="37">
        <v>131560.8085098771</v>
      </c>
    </row>
    <row r="21" spans="1:13" x14ac:dyDescent="0.2">
      <c r="A21" t="s">
        <v>6</v>
      </c>
      <c r="B21" s="37">
        <v>3488.7408187543556</v>
      </c>
      <c r="C21" s="37">
        <v>3818.8911361510259</v>
      </c>
      <c r="D21" s="37">
        <v>4273.5228449057604</v>
      </c>
      <c r="E21" s="37">
        <v>4009.1851588255031</v>
      </c>
      <c r="F21" s="37">
        <v>4202.9172041085367</v>
      </c>
      <c r="G21" s="37">
        <v>4065.2145108466138</v>
      </c>
      <c r="H21" s="37">
        <v>4339.9904997991798</v>
      </c>
      <c r="I21" s="37">
        <v>4686.0917447909069</v>
      </c>
      <c r="J21" s="37">
        <v>5133.4649057783035</v>
      </c>
      <c r="K21" s="37">
        <v>5019.3923467860159</v>
      </c>
      <c r="L21" s="37">
        <v>4939.7177509117882</v>
      </c>
      <c r="M21" s="37">
        <v>4986.8596243781758</v>
      </c>
    </row>
    <row r="22" spans="1:13" x14ac:dyDescent="0.2">
      <c r="A22" t="s">
        <v>7</v>
      </c>
      <c r="B22" s="37">
        <v>6310.3838658837813</v>
      </c>
      <c r="C22" s="37">
        <v>6769.7473965715653</v>
      </c>
      <c r="D22" s="37">
        <v>7292.6519014307187</v>
      </c>
      <c r="E22" s="37">
        <v>6819.0768884963991</v>
      </c>
      <c r="F22" s="37">
        <v>7142.2884928010171</v>
      </c>
      <c r="G22" s="37">
        <v>6249.9062773949327</v>
      </c>
      <c r="H22" s="37">
        <v>6773.6237730317007</v>
      </c>
      <c r="I22" s="37">
        <v>7356.2761521480543</v>
      </c>
      <c r="J22" s="37">
        <v>8241.0945605711131</v>
      </c>
      <c r="K22" s="37">
        <v>8058.9253640043389</v>
      </c>
      <c r="L22" s="37">
        <v>7763.8270762675256</v>
      </c>
      <c r="M22" s="37">
        <v>6954.4963099749357</v>
      </c>
    </row>
    <row r="23" spans="1:13" x14ac:dyDescent="0.2">
      <c r="A23" t="s">
        <v>8</v>
      </c>
      <c r="B23" s="50">
        <v>0</v>
      </c>
      <c r="C23" s="50">
        <v>0</v>
      </c>
      <c r="D23" s="50">
        <v>0</v>
      </c>
      <c r="E23" s="50">
        <v>0</v>
      </c>
      <c r="F23" s="50">
        <v>0</v>
      </c>
      <c r="G23" s="50">
        <v>0</v>
      </c>
      <c r="H23" s="50">
        <v>0</v>
      </c>
      <c r="I23" s="50">
        <v>0</v>
      </c>
      <c r="J23" s="50">
        <v>0</v>
      </c>
      <c r="K23" s="50">
        <v>0</v>
      </c>
      <c r="L23" s="50">
        <v>0</v>
      </c>
      <c r="M23" s="50">
        <v>0</v>
      </c>
    </row>
    <row r="24" spans="1:13" ht="13.5" thickBot="1" x14ac:dyDescent="0.25">
      <c r="A24" s="6"/>
      <c r="B24" s="46"/>
      <c r="C24" s="46"/>
      <c r="D24" s="46"/>
      <c r="E24" s="46"/>
      <c r="F24" s="46"/>
      <c r="G24" s="46"/>
      <c r="H24" s="46"/>
      <c r="I24" s="46"/>
      <c r="J24" s="46"/>
      <c r="K24" s="46"/>
      <c r="L24" s="46"/>
      <c r="M24" s="46"/>
    </row>
    <row r="25" spans="1:13" x14ac:dyDescent="0.2">
      <c r="A25" s="1" t="s">
        <v>9</v>
      </c>
      <c r="B25" s="49">
        <f t="shared" ref="B25:H25" si="4">B9+B19</f>
        <v>2276702.652880569</v>
      </c>
      <c r="C25" s="49">
        <f t="shared" si="4"/>
        <v>2358265.1478680372</v>
      </c>
      <c r="D25" s="49">
        <f t="shared" si="4"/>
        <v>2470768.6097361343</v>
      </c>
      <c r="E25" s="49">
        <f t="shared" si="4"/>
        <v>2479520.5622613737</v>
      </c>
      <c r="F25" s="49">
        <f t="shared" si="4"/>
        <v>2524108.463493342</v>
      </c>
      <c r="G25" s="49">
        <f t="shared" si="4"/>
        <v>2612268.8742836243</v>
      </c>
      <c r="H25" s="49">
        <f t="shared" si="4"/>
        <v>2630477.6099665053</v>
      </c>
      <c r="I25" s="49">
        <f>I9+I19</f>
        <v>2710839.8832900668</v>
      </c>
      <c r="J25" s="49">
        <f>J9+J19</f>
        <v>2761582.2871482163</v>
      </c>
      <c r="K25" s="49">
        <f>K9+K19</f>
        <v>2674587.022823825</v>
      </c>
      <c r="L25" s="49">
        <f>L9+L19</f>
        <v>2739280.4986535595</v>
      </c>
      <c r="M25" s="49">
        <f>M9+M19</f>
        <v>2817403.4830542305</v>
      </c>
    </row>
    <row r="26" spans="1:13" x14ac:dyDescent="0.2">
      <c r="A26" s="20"/>
      <c r="B26" s="20"/>
      <c r="C26" s="20"/>
      <c r="D26" s="20"/>
      <c r="E26" s="20"/>
      <c r="F26" s="20"/>
      <c r="G26" s="20"/>
      <c r="H26" s="20"/>
      <c r="I26" s="20"/>
      <c r="J26" s="20"/>
      <c r="K26" s="20"/>
      <c r="L26" s="20"/>
      <c r="M26" s="20"/>
    </row>
    <row r="27" spans="1:13" ht="36" customHeight="1" x14ac:dyDescent="0.2">
      <c r="A27" s="96" t="s">
        <v>28</v>
      </c>
      <c r="B27" s="96"/>
      <c r="C27" s="96"/>
      <c r="D27" s="96"/>
      <c r="E27" s="96"/>
      <c r="F27" s="96"/>
      <c r="G27" s="96"/>
      <c r="H27" s="96"/>
      <c r="I27" s="96"/>
      <c r="J27" s="96"/>
      <c r="K27" s="96"/>
      <c r="L27" s="96"/>
      <c r="M27" s="96"/>
    </row>
    <row r="28" spans="1:13" ht="12.75" customHeight="1" x14ac:dyDescent="0.2">
      <c r="A28" s="95" t="s">
        <v>30</v>
      </c>
      <c r="B28" s="95"/>
      <c r="C28" s="95"/>
      <c r="D28" s="95"/>
      <c r="E28" s="55"/>
      <c r="F28" s="55"/>
      <c r="G28" s="55"/>
      <c r="H28" s="55"/>
    </row>
    <row r="29" spans="1:13" ht="12.75" customHeight="1" x14ac:dyDescent="0.2">
      <c r="A29" s="95"/>
      <c r="B29" s="95"/>
      <c r="C29" s="95"/>
      <c r="D29" s="95"/>
      <c r="E29" s="95"/>
      <c r="F29" s="95"/>
      <c r="G29" s="95"/>
    </row>
    <row r="30" spans="1:13" x14ac:dyDescent="0.2">
      <c r="A30" s="7"/>
    </row>
    <row r="31" spans="1:13" x14ac:dyDescent="0.2">
      <c r="A31" s="7"/>
    </row>
    <row r="32" spans="1:13" x14ac:dyDescent="0.2">
      <c r="A32" s="7"/>
    </row>
    <row r="33" spans="1:1" x14ac:dyDescent="0.2">
      <c r="A33" s="7"/>
    </row>
  </sheetData>
  <mergeCells count="3">
    <mergeCell ref="A27:M27"/>
    <mergeCell ref="A28:D28"/>
    <mergeCell ref="A29:G29"/>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33"/>
  <sheetViews>
    <sheetView workbookViewId="0">
      <pane xSplit="1" topLeftCell="B1" activePane="topRight" state="frozen"/>
      <selection activeCell="E1" sqref="E1:G2"/>
      <selection pane="topRight" activeCell="M19" sqref="M19:M23"/>
    </sheetView>
  </sheetViews>
  <sheetFormatPr defaultRowHeight="12.75" x14ac:dyDescent="0.2"/>
  <cols>
    <col min="1" max="1" width="41.85546875" customWidth="1"/>
    <col min="2" max="66" width="13.7109375" customWidth="1"/>
  </cols>
  <sheetData>
    <row r="1" spans="1:13" ht="26.25" x14ac:dyDescent="0.4">
      <c r="A1" s="13" t="s">
        <v>20</v>
      </c>
      <c r="B1" s="14" t="s">
        <v>18</v>
      </c>
      <c r="C1" s="14"/>
      <c r="D1" s="15"/>
    </row>
    <row r="2" spans="1:13" x14ac:dyDescent="0.2">
      <c r="A2" s="14"/>
      <c r="B2" s="15"/>
      <c r="C2" s="15"/>
      <c r="D2" s="15"/>
    </row>
    <row r="3" spans="1:13" x14ac:dyDescent="0.2">
      <c r="A3" s="17" t="s">
        <v>21</v>
      </c>
    </row>
    <row r="4" spans="1:13" x14ac:dyDescent="0.2">
      <c r="A4" s="17" t="s">
        <v>22</v>
      </c>
    </row>
    <row r="5" spans="1:13" x14ac:dyDescent="0.2">
      <c r="B5" s="3"/>
    </row>
    <row r="6" spans="1:13" x14ac:dyDescent="0.2">
      <c r="A6" s="1" t="s">
        <v>16</v>
      </c>
      <c r="E6" s="3"/>
    </row>
    <row r="7" spans="1:13" x14ac:dyDescent="0.2">
      <c r="A7" s="1" t="s">
        <v>23</v>
      </c>
    </row>
    <row r="8" spans="1:13" ht="13.5" thickBot="1" x14ac:dyDescent="0.25">
      <c r="B8" s="21">
        <v>42370</v>
      </c>
      <c r="C8" s="21">
        <v>42401</v>
      </c>
      <c r="D8" s="21">
        <v>42430</v>
      </c>
      <c r="E8" s="21">
        <v>42461</v>
      </c>
      <c r="F8" s="21">
        <v>42491</v>
      </c>
      <c r="G8" s="21">
        <v>42522</v>
      </c>
      <c r="H8" s="21">
        <v>42552</v>
      </c>
      <c r="I8" s="21">
        <v>42583</v>
      </c>
      <c r="J8" s="21">
        <v>42614</v>
      </c>
      <c r="K8" s="21">
        <v>42644</v>
      </c>
      <c r="L8" s="21">
        <v>42675</v>
      </c>
      <c r="M8" s="21">
        <v>42705</v>
      </c>
    </row>
    <row r="9" spans="1:13" ht="13.5" thickBot="1" x14ac:dyDescent="0.25">
      <c r="A9" s="19" t="s">
        <v>10</v>
      </c>
      <c r="B9" s="47">
        <f t="shared" ref="B9:G9" si="0">SUM(B10:B17)</f>
        <v>2632896.8951637405</v>
      </c>
      <c r="C9" s="47">
        <f t="shared" si="0"/>
        <v>2703448.5474456297</v>
      </c>
      <c r="D9" s="47">
        <f t="shared" si="0"/>
        <v>2777718.8365249704</v>
      </c>
      <c r="E9" s="47">
        <f t="shared" si="0"/>
        <v>2693594.9849005155</v>
      </c>
      <c r="F9" s="47">
        <f t="shared" si="0"/>
        <v>2767435.9354084493</v>
      </c>
      <c r="G9" s="47">
        <f t="shared" si="0"/>
        <v>2861747.63144767</v>
      </c>
      <c r="H9" s="47">
        <f t="shared" ref="H9:M9" si="1">SUM(H10:H17)</f>
        <v>2854114.4560500002</v>
      </c>
      <c r="I9" s="47">
        <f t="shared" si="1"/>
        <v>2851136.9049300002</v>
      </c>
      <c r="J9" s="47">
        <f t="shared" si="1"/>
        <v>2940064.6661144099</v>
      </c>
      <c r="K9" s="47">
        <f t="shared" si="1"/>
        <v>2928958.6936500003</v>
      </c>
      <c r="L9" s="47">
        <f t="shared" si="1"/>
        <v>2982478.2788299997</v>
      </c>
      <c r="M9" s="47">
        <f t="shared" si="1"/>
        <v>3006980.0725864484</v>
      </c>
    </row>
    <row r="10" spans="1:13" x14ac:dyDescent="0.2">
      <c r="A10" t="s">
        <v>0</v>
      </c>
      <c r="B10" s="37">
        <v>667197.35600000003</v>
      </c>
      <c r="C10" s="37">
        <v>697917.69299999997</v>
      </c>
      <c r="D10" s="37">
        <v>728391.19499999995</v>
      </c>
      <c r="E10" s="37">
        <v>613903.43799999997</v>
      </c>
      <c r="F10" s="37">
        <v>655377.71799999999</v>
      </c>
      <c r="G10" s="37">
        <v>702432.48199999996</v>
      </c>
      <c r="H10" s="37">
        <v>670217.321</v>
      </c>
      <c r="I10" s="37">
        <v>708794.49</v>
      </c>
      <c r="J10" s="37">
        <v>761377.42500000005</v>
      </c>
      <c r="K10" s="37">
        <v>692947.24800000002</v>
      </c>
      <c r="L10" s="37">
        <v>712188.44700000004</v>
      </c>
      <c r="M10" s="37">
        <v>718336.22199999995</v>
      </c>
    </row>
    <row r="11" spans="1:13" x14ac:dyDescent="0.2">
      <c r="A11" t="s">
        <v>19</v>
      </c>
      <c r="B11" s="37">
        <v>671468.27899999998</v>
      </c>
      <c r="C11" s="37">
        <v>697248.06400000001</v>
      </c>
      <c r="D11" s="37">
        <v>709250.46400000004</v>
      </c>
      <c r="E11" s="37">
        <v>722612.52300000004</v>
      </c>
      <c r="F11" s="37">
        <v>733740.40099999995</v>
      </c>
      <c r="G11" s="37">
        <v>747710.18299999996</v>
      </c>
      <c r="H11" s="37">
        <v>762786.17099999997</v>
      </c>
      <c r="I11" s="37">
        <v>785125.76300000004</v>
      </c>
      <c r="J11" s="37">
        <v>797533.56700000004</v>
      </c>
      <c r="K11" s="37">
        <v>827211.76199999999</v>
      </c>
      <c r="L11" s="37">
        <v>849054.27500000002</v>
      </c>
      <c r="M11" s="37">
        <v>868479.26399999997</v>
      </c>
    </row>
    <row r="12" spans="1:13" x14ac:dyDescent="0.2">
      <c r="A12" t="s">
        <v>1</v>
      </c>
      <c r="B12" s="37">
        <v>79069.626999999993</v>
      </c>
      <c r="C12" s="37">
        <v>80679.857999999993</v>
      </c>
      <c r="D12" s="37">
        <v>81730.263000000006</v>
      </c>
      <c r="E12" s="37">
        <v>81761.407999999996</v>
      </c>
      <c r="F12" s="37">
        <v>83040.243000000002</v>
      </c>
      <c r="G12" s="37">
        <v>85057.153999999995</v>
      </c>
      <c r="H12" s="37">
        <v>83211.342000000004</v>
      </c>
      <c r="I12" s="37">
        <v>83963.74</v>
      </c>
      <c r="J12" s="37">
        <v>84760.298999999999</v>
      </c>
      <c r="K12" s="37">
        <v>84645.206000000006</v>
      </c>
      <c r="L12" s="37">
        <v>85192.312000000005</v>
      </c>
      <c r="M12" s="37">
        <v>86288.744000000006</v>
      </c>
    </row>
    <row r="13" spans="1:13" x14ac:dyDescent="0.2">
      <c r="A13" t="s">
        <v>24</v>
      </c>
      <c r="B13" s="37">
        <v>845467.45600000001</v>
      </c>
      <c r="C13" s="37">
        <v>850391.49899999995</v>
      </c>
      <c r="D13" s="37">
        <v>871180.56200000003</v>
      </c>
      <c r="E13" s="37">
        <v>881525.35900000005</v>
      </c>
      <c r="F13" s="37">
        <v>889725.02599999995</v>
      </c>
      <c r="G13" s="37">
        <v>907493.45799999998</v>
      </c>
      <c r="H13" s="37">
        <v>922353.50600000005</v>
      </c>
      <c r="I13" s="37">
        <v>849371.86100000003</v>
      </c>
      <c r="J13" s="37">
        <v>865486.04500000004</v>
      </c>
      <c r="K13" s="37">
        <v>885331.71600000001</v>
      </c>
      <c r="L13" s="37">
        <v>892379.01399999997</v>
      </c>
      <c r="M13" s="37">
        <v>895029.99699999997</v>
      </c>
    </row>
    <row r="14" spans="1:13" x14ac:dyDescent="0.2">
      <c r="A14" t="s">
        <v>25</v>
      </c>
      <c r="B14" s="37">
        <v>321926.45699999999</v>
      </c>
      <c r="C14" s="37">
        <v>329569.25099999999</v>
      </c>
      <c r="D14" s="37">
        <v>340953.46399999998</v>
      </c>
      <c r="E14" s="37">
        <v>347953.75699999998</v>
      </c>
      <c r="F14" s="37">
        <v>357876.21799999999</v>
      </c>
      <c r="G14" s="37">
        <v>368148.43900000001</v>
      </c>
      <c r="H14" s="37">
        <v>367706.29</v>
      </c>
      <c r="I14" s="37">
        <v>376005.549</v>
      </c>
      <c r="J14" s="37">
        <v>383038.08399999997</v>
      </c>
      <c r="K14" s="37">
        <v>391580.29100000003</v>
      </c>
      <c r="L14" s="37">
        <v>395190.88400000002</v>
      </c>
      <c r="M14" s="37">
        <v>389205.50099999999</v>
      </c>
    </row>
    <row r="15" spans="1:13" x14ac:dyDescent="0.2">
      <c r="A15" t="s">
        <v>27</v>
      </c>
      <c r="B15" s="37">
        <v>7591.1861699999999</v>
      </c>
      <c r="C15" s="37">
        <v>7546.0870599999998</v>
      </c>
      <c r="D15" s="37">
        <v>7512.7833300000002</v>
      </c>
      <c r="E15" s="37">
        <v>7468.1818464551397</v>
      </c>
      <c r="F15" s="37">
        <v>7430.6825199999994</v>
      </c>
      <c r="G15" s="37">
        <v>11458.69515</v>
      </c>
      <c r="H15" s="37">
        <v>8549.5469200000007</v>
      </c>
      <c r="I15" s="37">
        <v>8500.6783100000011</v>
      </c>
      <c r="J15" s="37">
        <v>8452.0683100000006</v>
      </c>
      <c r="K15" s="37">
        <v>8401.2718800000002</v>
      </c>
      <c r="L15" s="37">
        <v>8554.9178699999993</v>
      </c>
      <c r="M15" s="37">
        <v>8389.1773934286466</v>
      </c>
    </row>
    <row r="16" spans="1:13" x14ac:dyDescent="0.2">
      <c r="A16" t="s">
        <v>3</v>
      </c>
      <c r="B16" s="37">
        <v>2458.6822237399997</v>
      </c>
      <c r="C16" s="37">
        <v>2435.5452056300001</v>
      </c>
      <c r="D16" s="37">
        <v>2403.4984849699999</v>
      </c>
      <c r="E16" s="37">
        <v>2403.99974406</v>
      </c>
      <c r="F16" s="37">
        <v>2396.3080984499998</v>
      </c>
      <c r="G16" s="37">
        <v>2330.0768976699997</v>
      </c>
      <c r="H16" s="37">
        <v>2317.0190699999998</v>
      </c>
      <c r="I16" s="37">
        <v>2284.76793</v>
      </c>
      <c r="J16" s="37">
        <v>2247.61453441</v>
      </c>
      <c r="K16" s="37">
        <v>2237.7549800000002</v>
      </c>
      <c r="L16" s="37">
        <v>2204.8357099999998</v>
      </c>
      <c r="M16" s="37">
        <v>2218.1222730200002</v>
      </c>
    </row>
    <row r="17" spans="1:13" x14ac:dyDescent="0.2">
      <c r="A17" t="s">
        <v>4</v>
      </c>
      <c r="B17" s="37">
        <f>(8520+324.77+952478+23720+1463233+2988923+14652394+14890065+2486027+252167)/1000</f>
        <v>37717.851769999994</v>
      </c>
      <c r="C17" s="37">
        <f>(9254+325.18+961827+23851+1432463+2928344+14980931+14643846+2432958+246751)/1000</f>
        <v>37660.550179999998</v>
      </c>
      <c r="D17" s="37">
        <f>(9427+325.71+962343+24022+1307164+2857991+15203721+13432619+2250519+248475)/1000</f>
        <v>36296.60671</v>
      </c>
      <c r="E17" s="37">
        <f>(9977+326.31+959789+24170+1248966+3408676+15398193+12520249+2145937+250035)/1000</f>
        <v>35966.318310000002</v>
      </c>
      <c r="F17" s="37">
        <f>(10551+326.79+962985+24326+1302857+4291905+15655989+13127801+2220975+251623)/1000</f>
        <v>37849.338790000002</v>
      </c>
      <c r="G17" s="37">
        <f>(11294+327.4+971492+24491+1173935+4716059+16064996+11885507+2015688+253354)/1000</f>
        <v>37117.143400000001</v>
      </c>
      <c r="H17" s="37">
        <f>(11371+328.06+983354+24656+1172306+4336267+16252533+11929583+2007834+255028)/1000</f>
        <v>36973.260060000001</v>
      </c>
      <c r="I17" s="37">
        <f>(11369+328.69+969117+24837+1177192+4217370+16429517+12038162+1965272+256891)/1000</f>
        <v>37090.055690000001</v>
      </c>
      <c r="J17" s="37">
        <f>(11372+329.27+966669+24996+1166697+4107607+16617789+11987215+2028333+258556)/1000</f>
        <v>37169.563269999999</v>
      </c>
      <c r="K17" s="37">
        <f>(11804+329.79+963246+25161+1151498+3870687+16794414+11545089+1979246+261969)/1000</f>
        <v>36603.443789999998</v>
      </c>
      <c r="L17" s="37">
        <f>(12711+330.25+959483+25317+1232751+3789517+16905113+12419339+2105410+263622)/1000</f>
        <v>37713.593249999998</v>
      </c>
      <c r="M17" s="37">
        <f>(23061+330.92+955794+25492+1179583+5480872+17154372+11944638+2012153+256749)/1000</f>
        <v>39033.04492</v>
      </c>
    </row>
    <row r="18" spans="1:13" x14ac:dyDescent="0.2">
      <c r="B18" s="45"/>
      <c r="C18" s="45"/>
      <c r="D18" s="45"/>
      <c r="E18" s="45"/>
      <c r="F18" s="45"/>
      <c r="G18" s="45"/>
      <c r="H18" s="45"/>
      <c r="I18" s="45"/>
      <c r="J18" s="45"/>
      <c r="K18" s="45"/>
      <c r="L18" s="45"/>
      <c r="M18" s="45"/>
    </row>
    <row r="19" spans="1:13" ht="13.5" thickBot="1" x14ac:dyDescent="0.25">
      <c r="A19" s="2" t="s">
        <v>11</v>
      </c>
      <c r="B19" s="48">
        <f t="shared" ref="B19:G19" si="2">SUM(B20:B23)</f>
        <v>143583.75142366148</v>
      </c>
      <c r="C19" s="48">
        <f t="shared" si="2"/>
        <v>141839.6042002177</v>
      </c>
      <c r="D19" s="48">
        <f t="shared" si="2"/>
        <v>133772.1916145061</v>
      </c>
      <c r="E19" s="48">
        <f t="shared" si="2"/>
        <v>130114.67942422915</v>
      </c>
      <c r="F19" s="48">
        <f t="shared" si="2"/>
        <v>135249.81557654694</v>
      </c>
      <c r="G19" s="48">
        <f t="shared" si="2"/>
        <v>121239.89174551086</v>
      </c>
      <c r="H19" s="48">
        <f t="shared" ref="H19:M19" si="3">SUM(H20:H23)</f>
        <v>125021.10424676903</v>
      </c>
      <c r="I19" s="48">
        <f t="shared" si="3"/>
        <v>125688.73898321629</v>
      </c>
      <c r="J19" s="48">
        <f t="shared" si="3"/>
        <v>126637.53964930453</v>
      </c>
      <c r="K19" s="48">
        <f t="shared" si="3"/>
        <v>124207.66223571125</v>
      </c>
      <c r="L19" s="48">
        <f t="shared" si="3"/>
        <v>131860.06224489486</v>
      </c>
      <c r="M19" s="48">
        <f t="shared" si="3"/>
        <v>127143.4246111917</v>
      </c>
    </row>
    <row r="20" spans="1:13" x14ac:dyDescent="0.2">
      <c r="A20" t="s">
        <v>5</v>
      </c>
      <c r="B20" s="37">
        <v>130096.52091682014</v>
      </c>
      <c r="C20" s="37">
        <v>128533.77743308333</v>
      </c>
      <c r="D20" s="37">
        <v>121585.6108217843</v>
      </c>
      <c r="E20" s="37">
        <v>118237.58225865502</v>
      </c>
      <c r="F20" s="37">
        <v>122994.09727792352</v>
      </c>
      <c r="G20" s="37">
        <v>111163.08959476357</v>
      </c>
      <c r="H20" s="37">
        <v>114942.30828845114</v>
      </c>
      <c r="I20" s="37">
        <v>115443.77729978571</v>
      </c>
      <c r="J20" s="37">
        <v>116174.16451184142</v>
      </c>
      <c r="K20" s="37">
        <v>114101.96477377973</v>
      </c>
      <c r="L20" s="37">
        <v>121284.01999697903</v>
      </c>
      <c r="M20" s="37">
        <v>117225.0562676117</v>
      </c>
    </row>
    <row r="21" spans="1:13" x14ac:dyDescent="0.2">
      <c r="A21" t="s">
        <v>6</v>
      </c>
      <c r="B21" s="37">
        <v>4988.6014727287793</v>
      </c>
      <c r="C21" s="37">
        <v>4922.2058429444396</v>
      </c>
      <c r="D21" s="37">
        <v>4407.7708248276112</v>
      </c>
      <c r="E21" s="37">
        <v>4289.9672076306797</v>
      </c>
      <c r="F21" s="37">
        <v>4399.1206585902946</v>
      </c>
      <c r="G21" s="37">
        <v>3880.0604212956077</v>
      </c>
      <c r="H21" s="37">
        <v>3743.8038067839402</v>
      </c>
      <c r="I21" s="37">
        <v>3754.4707779479877</v>
      </c>
      <c r="J21" s="37">
        <v>3766.8875655616403</v>
      </c>
      <c r="K21" s="37">
        <v>3702.1097297157094</v>
      </c>
      <c r="L21" s="37">
        <v>3921.0697248501474</v>
      </c>
      <c r="M21" s="37">
        <v>3737.0486818100003</v>
      </c>
    </row>
    <row r="22" spans="1:13" x14ac:dyDescent="0.2">
      <c r="A22" t="s">
        <v>7</v>
      </c>
      <c r="B22" s="37">
        <v>8498.6290341125623</v>
      </c>
      <c r="C22" s="37">
        <v>8383.6209241899342</v>
      </c>
      <c r="D22" s="37">
        <v>7778.8099678941899</v>
      </c>
      <c r="E22" s="37">
        <v>7587.129957943459</v>
      </c>
      <c r="F22" s="37">
        <v>7856.5976400331383</v>
      </c>
      <c r="G22" s="37">
        <v>6196.7417294516799</v>
      </c>
      <c r="H22" s="37">
        <v>6334.9921515339493</v>
      </c>
      <c r="I22" s="37">
        <v>6490.4909054825912</v>
      </c>
      <c r="J22" s="37">
        <v>6696.487571901469</v>
      </c>
      <c r="K22" s="37">
        <v>6403.587732215804</v>
      </c>
      <c r="L22" s="37">
        <v>6654.9725230656777</v>
      </c>
      <c r="M22" s="37">
        <v>6181.3196617700069</v>
      </c>
    </row>
    <row r="23" spans="1:13" x14ac:dyDescent="0.2">
      <c r="A23" t="s">
        <v>8</v>
      </c>
      <c r="B23" s="50">
        <v>0</v>
      </c>
      <c r="C23" s="50">
        <v>0</v>
      </c>
      <c r="D23" s="50">
        <v>0</v>
      </c>
      <c r="E23" s="50">
        <v>0</v>
      </c>
      <c r="F23" s="50">
        <v>0</v>
      </c>
      <c r="G23" s="50">
        <v>0</v>
      </c>
      <c r="H23" s="50">
        <v>0</v>
      </c>
      <c r="I23" s="50">
        <v>0</v>
      </c>
      <c r="J23" s="50">
        <v>0</v>
      </c>
      <c r="K23" s="50">
        <v>0</v>
      </c>
      <c r="L23" s="50">
        <v>0</v>
      </c>
      <c r="M23" s="50">
        <v>0</v>
      </c>
    </row>
    <row r="24" spans="1:13" ht="13.5" thickBot="1" x14ac:dyDescent="0.25">
      <c r="A24" s="6"/>
      <c r="B24" s="46"/>
      <c r="C24" s="46"/>
      <c r="D24" s="46"/>
      <c r="E24" s="46"/>
      <c r="F24" s="46"/>
      <c r="G24" s="46"/>
      <c r="H24" s="46"/>
      <c r="I24" s="46"/>
      <c r="J24" s="46"/>
      <c r="K24" s="46"/>
      <c r="L24" s="46"/>
      <c r="M24" s="46"/>
    </row>
    <row r="25" spans="1:13" x14ac:dyDescent="0.2">
      <c r="A25" s="1" t="s">
        <v>9</v>
      </c>
      <c r="B25" s="49">
        <f t="shared" ref="B25:G25" si="4">B9+B19</f>
        <v>2776480.6465874021</v>
      </c>
      <c r="C25" s="49">
        <f t="shared" si="4"/>
        <v>2845288.1516458476</v>
      </c>
      <c r="D25" s="49">
        <f t="shared" si="4"/>
        <v>2911491.0281394767</v>
      </c>
      <c r="E25" s="49">
        <f t="shared" si="4"/>
        <v>2823709.6643247446</v>
      </c>
      <c r="F25" s="49">
        <f t="shared" si="4"/>
        <v>2902685.7509849961</v>
      </c>
      <c r="G25" s="49">
        <f t="shared" si="4"/>
        <v>2982987.523193181</v>
      </c>
      <c r="H25" s="49">
        <f t="shared" ref="H25:M25" si="5">H9+H19</f>
        <v>2979135.5602967693</v>
      </c>
      <c r="I25" s="49">
        <f t="shared" si="5"/>
        <v>2976825.6439132164</v>
      </c>
      <c r="J25" s="49">
        <f t="shared" si="5"/>
        <v>3066702.2057637144</v>
      </c>
      <c r="K25" s="49">
        <f t="shared" si="5"/>
        <v>3053166.3558857115</v>
      </c>
      <c r="L25" s="49">
        <f t="shared" si="5"/>
        <v>3114338.3410748946</v>
      </c>
      <c r="M25" s="49">
        <f t="shared" si="5"/>
        <v>3134123.4971976401</v>
      </c>
    </row>
    <row r="26" spans="1:13" x14ac:dyDescent="0.2">
      <c r="A26" s="20"/>
      <c r="B26" s="20"/>
      <c r="C26" s="20"/>
      <c r="D26" s="20"/>
      <c r="E26" s="20"/>
      <c r="F26" s="20"/>
      <c r="G26" s="20"/>
      <c r="H26" s="20"/>
      <c r="I26" s="20"/>
      <c r="J26" s="20"/>
      <c r="K26" s="20"/>
      <c r="L26" s="20"/>
      <c r="M26" s="20"/>
    </row>
    <row r="27" spans="1:13" ht="34.5" customHeight="1" x14ac:dyDescent="0.2">
      <c r="A27" s="96" t="s">
        <v>28</v>
      </c>
      <c r="B27" s="96"/>
      <c r="C27" s="96"/>
      <c r="D27" s="96"/>
      <c r="E27" s="96"/>
      <c r="F27" s="96"/>
      <c r="G27" s="96"/>
      <c r="H27" s="96"/>
      <c r="I27" s="96"/>
      <c r="J27" s="96"/>
      <c r="K27" s="96"/>
      <c r="L27" s="96"/>
      <c r="M27" s="96"/>
    </row>
    <row r="28" spans="1:13" ht="12.75" customHeight="1" x14ac:dyDescent="0.2">
      <c r="A28" s="95" t="s">
        <v>30</v>
      </c>
      <c r="B28" s="95"/>
      <c r="C28" s="95"/>
      <c r="D28" s="95"/>
    </row>
    <row r="29" spans="1:13" ht="12.75" customHeight="1" x14ac:dyDescent="0.2">
      <c r="A29" s="95"/>
      <c r="B29" s="95"/>
      <c r="C29" s="95"/>
      <c r="D29" s="95"/>
    </row>
    <row r="30" spans="1:13" x14ac:dyDescent="0.2">
      <c r="A30" s="7"/>
    </row>
    <row r="31" spans="1:13" x14ac:dyDescent="0.2">
      <c r="A31" s="7"/>
    </row>
    <row r="32" spans="1:13" x14ac:dyDescent="0.2">
      <c r="A32" s="7"/>
    </row>
    <row r="33" spans="1:1" x14ac:dyDescent="0.2">
      <c r="A33" s="7"/>
    </row>
  </sheetData>
  <mergeCells count="3">
    <mergeCell ref="A28:D28"/>
    <mergeCell ref="A29:D29"/>
    <mergeCell ref="A27:M27"/>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33"/>
  <sheetViews>
    <sheetView workbookViewId="0">
      <pane xSplit="1" topLeftCell="B1" activePane="topRight" state="frozen"/>
      <selection activeCell="E1" sqref="E1:G2"/>
      <selection pane="topRight" activeCell="H20" sqref="H20"/>
    </sheetView>
  </sheetViews>
  <sheetFormatPr defaultRowHeight="12.75" x14ac:dyDescent="0.2"/>
  <cols>
    <col min="1" max="1" width="41.85546875" customWidth="1"/>
    <col min="2" max="55" width="13.7109375" customWidth="1"/>
  </cols>
  <sheetData>
    <row r="1" spans="1:13" ht="26.25" x14ac:dyDescent="0.4">
      <c r="A1" s="13" t="s">
        <v>20</v>
      </c>
      <c r="B1" s="14" t="s">
        <v>18</v>
      </c>
      <c r="C1" s="14"/>
      <c r="D1" s="15"/>
    </row>
    <row r="2" spans="1:13" x14ac:dyDescent="0.2">
      <c r="A2" s="14"/>
      <c r="B2" s="15"/>
      <c r="C2" s="15"/>
      <c r="D2" s="15"/>
    </row>
    <row r="3" spans="1:13" x14ac:dyDescent="0.2">
      <c r="A3" s="17" t="s">
        <v>21</v>
      </c>
    </row>
    <row r="4" spans="1:13" x14ac:dyDescent="0.2">
      <c r="A4" s="17" t="s">
        <v>22</v>
      </c>
    </row>
    <row r="5" spans="1:13" x14ac:dyDescent="0.2">
      <c r="B5" s="3"/>
    </row>
    <row r="6" spans="1:13" x14ac:dyDescent="0.2">
      <c r="A6" s="1" t="s">
        <v>16</v>
      </c>
    </row>
    <row r="7" spans="1:13" x14ac:dyDescent="0.2">
      <c r="A7" s="1" t="s">
        <v>23</v>
      </c>
    </row>
    <row r="8" spans="1:13" ht="13.5" thickBot="1" x14ac:dyDescent="0.25">
      <c r="B8" s="21">
        <v>42736</v>
      </c>
      <c r="C8" s="57">
        <v>42767</v>
      </c>
      <c r="D8" s="57">
        <v>42795</v>
      </c>
      <c r="E8" s="57">
        <v>42826</v>
      </c>
      <c r="F8" s="57">
        <v>42856</v>
      </c>
      <c r="G8" s="57">
        <v>42887</v>
      </c>
      <c r="H8" s="57">
        <v>42917</v>
      </c>
      <c r="I8" s="57">
        <v>42948</v>
      </c>
      <c r="J8" s="57">
        <v>42979</v>
      </c>
      <c r="K8" s="57">
        <v>43009</v>
      </c>
      <c r="L8" s="57">
        <v>43040</v>
      </c>
      <c r="M8" s="57">
        <v>43070</v>
      </c>
    </row>
    <row r="9" spans="1:13" ht="13.5" thickBot="1" x14ac:dyDescent="0.25">
      <c r="A9" s="19" t="s">
        <v>10</v>
      </c>
      <c r="B9" s="47">
        <v>2959000.75510007</v>
      </c>
      <c r="C9" s="58">
        <v>3044053.1189302504</v>
      </c>
      <c r="D9" s="66">
        <v>3135572.6913777296</v>
      </c>
      <c r="E9" s="66">
        <v>3147520.9034332293</v>
      </c>
      <c r="F9" s="66">
        <v>3155291.2401051102</v>
      </c>
      <c r="G9" s="66">
        <v>3250621.8942684904</v>
      </c>
      <c r="H9" s="66">
        <v>3241691.4336672304</v>
      </c>
      <c r="I9" s="66">
        <v>3302652.0428841398</v>
      </c>
      <c r="J9" s="66">
        <v>3328071.5709569003</v>
      </c>
      <c r="K9" s="58">
        <v>3328266.6476298296</v>
      </c>
      <c r="L9" s="58">
        <v>3390056.7304964601</v>
      </c>
      <c r="M9" s="58">
        <v>3451694.5977480998</v>
      </c>
    </row>
    <row r="10" spans="1:13" x14ac:dyDescent="0.2">
      <c r="A10" t="s">
        <v>0</v>
      </c>
      <c r="B10" s="37">
        <v>697958.26871595986</v>
      </c>
      <c r="C10" s="59">
        <v>741471.69873425004</v>
      </c>
      <c r="D10" s="67">
        <v>787991.90106182999</v>
      </c>
      <c r="E10" s="67">
        <v>751483.37917937001</v>
      </c>
      <c r="F10" s="67">
        <v>779731.91915247997</v>
      </c>
      <c r="G10" s="67">
        <v>812457.38195092999</v>
      </c>
      <c r="H10" s="67">
        <v>786694.99780226999</v>
      </c>
      <c r="I10" s="67">
        <v>818948.16975735012</v>
      </c>
      <c r="J10" s="67">
        <v>847957.96695425001</v>
      </c>
      <c r="K10" s="59">
        <v>802704.25855634001</v>
      </c>
      <c r="L10" s="59">
        <v>832758.90102438</v>
      </c>
      <c r="M10" s="59">
        <v>857382.76606537995</v>
      </c>
    </row>
    <row r="11" spans="1:13" x14ac:dyDescent="0.2">
      <c r="A11" t="s">
        <v>31</v>
      </c>
      <c r="B11" s="37">
        <v>894867.49333818001</v>
      </c>
      <c r="C11" s="59">
        <v>920834.75866002997</v>
      </c>
      <c r="D11" s="67">
        <v>936782.54597676988</v>
      </c>
      <c r="E11" s="67">
        <v>962767.98368756997</v>
      </c>
      <c r="F11" s="67">
        <v>980564.1418058601</v>
      </c>
      <c r="G11" s="67">
        <v>1025650.6143779299</v>
      </c>
      <c r="H11" s="67">
        <v>1054270.6354962401</v>
      </c>
      <c r="I11" s="67">
        <v>1076674.5406873198</v>
      </c>
      <c r="J11" s="67">
        <v>1056159.3586843901</v>
      </c>
      <c r="K11" s="59">
        <v>1076853.4850236899</v>
      </c>
      <c r="L11" s="59">
        <v>1094732.3969435301</v>
      </c>
      <c r="M11" s="59">
        <v>1112725.7437463899</v>
      </c>
    </row>
    <row r="12" spans="1:13" x14ac:dyDescent="0.2">
      <c r="A12" t="s">
        <v>1</v>
      </c>
      <c r="B12" s="37">
        <v>84767.786168129998</v>
      </c>
      <c r="C12" s="59">
        <v>84884.925391550001</v>
      </c>
      <c r="D12" s="67">
        <v>85542.225745529999</v>
      </c>
      <c r="E12" s="67">
        <v>84379.339195189998</v>
      </c>
      <c r="F12" s="67">
        <v>84219.433898390009</v>
      </c>
      <c r="G12" s="67">
        <v>84282.214721919998</v>
      </c>
      <c r="H12" s="67">
        <v>70610.361254310017</v>
      </c>
      <c r="I12" s="67">
        <v>70864.542152520007</v>
      </c>
      <c r="J12" s="67">
        <v>71731.648510030005</v>
      </c>
      <c r="K12" s="59">
        <v>71554.65002406</v>
      </c>
      <c r="L12" s="59">
        <v>72456.169221189994</v>
      </c>
      <c r="M12" s="59">
        <v>73654.339910399998</v>
      </c>
    </row>
    <row r="13" spans="1:13" x14ac:dyDescent="0.2">
      <c r="A13" t="s">
        <v>24</v>
      </c>
      <c r="B13" s="37">
        <v>915145.35469169007</v>
      </c>
      <c r="C13" s="59">
        <v>921679.28393378993</v>
      </c>
      <c r="D13" s="67">
        <v>938855.39745832002</v>
      </c>
      <c r="E13" s="67">
        <v>952000.06030036998</v>
      </c>
      <c r="F13" s="67">
        <v>906597.84381648002</v>
      </c>
      <c r="G13" s="67">
        <v>915879.94227612007</v>
      </c>
      <c r="H13" s="67">
        <v>925940.79348078999</v>
      </c>
      <c r="I13" s="67">
        <v>923663.92712182994</v>
      </c>
      <c r="J13" s="67">
        <v>931246.58478160005</v>
      </c>
      <c r="K13" s="59">
        <v>943359.05839436001</v>
      </c>
      <c r="L13" s="59">
        <v>949116.77134363994</v>
      </c>
      <c r="M13" s="59">
        <v>957229.93499622005</v>
      </c>
    </row>
    <row r="14" spans="1:13" x14ac:dyDescent="0.2">
      <c r="A14" t="s">
        <v>25</v>
      </c>
      <c r="B14" s="37">
        <v>316593.01094417</v>
      </c>
      <c r="C14" s="59">
        <v>325834.45793045004</v>
      </c>
      <c r="D14" s="67">
        <v>336206.93731102999</v>
      </c>
      <c r="E14" s="67">
        <v>347882.45248107996</v>
      </c>
      <c r="F14" s="67">
        <v>355473.92791795998</v>
      </c>
      <c r="G14" s="67">
        <v>363389.95333276998</v>
      </c>
      <c r="H14" s="67">
        <v>356490.72305344004</v>
      </c>
      <c r="I14" s="67">
        <v>364760.88755156001</v>
      </c>
      <c r="J14" s="67">
        <v>373097.41752377996</v>
      </c>
      <c r="K14" s="59">
        <v>385807.21127972001</v>
      </c>
      <c r="L14" s="59">
        <v>393604.33603536</v>
      </c>
      <c r="M14" s="59">
        <v>398486.56178041</v>
      </c>
    </row>
    <row r="15" spans="1:13" x14ac:dyDescent="0.2">
      <c r="A15" t="s">
        <v>27</v>
      </c>
      <c r="B15" s="37">
        <v>8106.1260963099949</v>
      </c>
      <c r="C15" s="59">
        <v>7955.2828726199987</v>
      </c>
      <c r="D15" s="67">
        <v>8776.2820058999969</v>
      </c>
      <c r="E15" s="67">
        <v>8114.909516509998</v>
      </c>
      <c r="F15" s="67">
        <v>8052.3722108800002</v>
      </c>
      <c r="G15" s="67">
        <v>7988.0369985200014</v>
      </c>
      <c r="H15" s="67">
        <v>7925.6403672000006</v>
      </c>
      <c r="I15" s="67">
        <v>7865.686170330001</v>
      </c>
      <c r="J15" s="67">
        <v>7800.5528756099993</v>
      </c>
      <c r="K15" s="59">
        <v>7738.531613879999</v>
      </c>
      <c r="L15" s="59">
        <v>7371.0490413300004</v>
      </c>
      <c r="M15" s="59">
        <v>7063.5790102500014</v>
      </c>
    </row>
    <row r="16" spans="1:13" x14ac:dyDescent="0.2">
      <c r="A16" t="s">
        <v>3</v>
      </c>
      <c r="B16" s="37">
        <v>2212.2605020700003</v>
      </c>
      <c r="C16" s="59">
        <v>2190.0254230999999</v>
      </c>
      <c r="D16" s="67">
        <v>2154.8024510800001</v>
      </c>
      <c r="E16" s="67">
        <v>2134.1214244000003</v>
      </c>
      <c r="F16" s="67">
        <v>2099.6409305699999</v>
      </c>
      <c r="G16" s="67">
        <v>2085.1394059100003</v>
      </c>
      <c r="H16" s="67">
        <v>2058.0734863399998</v>
      </c>
      <c r="I16" s="67">
        <v>2017.7014029300001</v>
      </c>
      <c r="J16" s="67">
        <v>1984.70475242</v>
      </c>
      <c r="K16" s="59">
        <v>1930.1438237699999</v>
      </c>
      <c r="L16" s="59">
        <v>1906.03721253</v>
      </c>
      <c r="M16" s="59">
        <v>1833.3989580099999</v>
      </c>
    </row>
    <row r="17" spans="1:13" x14ac:dyDescent="0.2">
      <c r="A17" t="s">
        <v>4</v>
      </c>
      <c r="B17" s="37">
        <v>39350.454643560006</v>
      </c>
      <c r="C17" s="59">
        <v>39202.685984459997</v>
      </c>
      <c r="D17" s="67">
        <v>39262.599367269999</v>
      </c>
      <c r="E17" s="67">
        <v>38758.657648740009</v>
      </c>
      <c r="F17" s="67">
        <v>38551.960372490001</v>
      </c>
      <c r="G17" s="67">
        <v>38888.611204389999</v>
      </c>
      <c r="H17" s="67">
        <v>37700.20872663999</v>
      </c>
      <c r="I17" s="67">
        <v>37856.588040300005</v>
      </c>
      <c r="J17" s="67">
        <v>38093.336874820008</v>
      </c>
      <c r="K17" s="59">
        <v>38319.308914009991</v>
      </c>
      <c r="L17" s="59">
        <v>38111.069674500002</v>
      </c>
      <c r="M17" s="59">
        <v>43318.273281039998</v>
      </c>
    </row>
    <row r="18" spans="1:13" x14ac:dyDescent="0.2">
      <c r="B18" s="45"/>
      <c r="C18" s="60"/>
      <c r="D18" s="68"/>
      <c r="E18" s="68"/>
      <c r="F18" s="68"/>
      <c r="G18" s="68"/>
      <c r="H18" s="68"/>
      <c r="I18" s="68"/>
      <c r="J18" s="68"/>
      <c r="K18" s="60"/>
      <c r="L18" s="60"/>
      <c r="M18" s="60"/>
    </row>
    <row r="19" spans="1:13" ht="13.5" thickBot="1" x14ac:dyDescent="0.25">
      <c r="A19" s="2" t="s">
        <v>11</v>
      </c>
      <c r="B19" s="48">
        <v>115429.93282279203</v>
      </c>
      <c r="C19" s="61">
        <v>114503.29389147939</v>
      </c>
      <c r="D19" s="69">
        <v>120702.80913186817</v>
      </c>
      <c r="E19" s="69">
        <v>121668.91782361822</v>
      </c>
      <c r="F19" s="69">
        <v>123273.39295313081</v>
      </c>
      <c r="G19" s="69">
        <v>124439.03561703065</v>
      </c>
      <c r="H19" s="69">
        <v>116839.34735601656</v>
      </c>
      <c r="I19" s="69">
        <v>117999.12090440957</v>
      </c>
      <c r="J19" s="69">
        <v>119303.20861820705</v>
      </c>
      <c r="K19" s="69">
        <v>127475.21865764569</v>
      </c>
      <c r="L19" s="69">
        <v>121785.53683807931</v>
      </c>
      <c r="M19" s="69">
        <v>124212.32667047722</v>
      </c>
    </row>
    <row r="20" spans="1:13" x14ac:dyDescent="0.2">
      <c r="A20" t="s">
        <v>5</v>
      </c>
      <c r="B20" s="37">
        <v>104884.89241182127</v>
      </c>
      <c r="C20" s="62">
        <v>104168.14023067398</v>
      </c>
      <c r="D20" s="70">
        <v>109738.49736365696</v>
      </c>
      <c r="E20" s="70">
        <v>110506.98343203755</v>
      </c>
      <c r="F20" s="70">
        <v>111800.98460312274</v>
      </c>
      <c r="G20" s="70">
        <v>112841.76071469064</v>
      </c>
      <c r="H20" s="70">
        <v>105654.6652756024</v>
      </c>
      <c r="I20" s="70">
        <v>106449.73302410163</v>
      </c>
      <c r="J20" s="70">
        <v>107525.88227887554</v>
      </c>
      <c r="K20" s="70">
        <v>115423.92887120483</v>
      </c>
      <c r="L20" s="70">
        <v>109729.79422852998</v>
      </c>
      <c r="M20" s="70">
        <v>111735.6331103007</v>
      </c>
    </row>
    <row r="21" spans="1:13" x14ac:dyDescent="0.2">
      <c r="A21" t="s">
        <v>6</v>
      </c>
      <c r="B21" s="37">
        <v>3458.8370058815094</v>
      </c>
      <c r="C21" s="62">
        <v>3435.3879551659052</v>
      </c>
      <c r="D21" s="70">
        <v>3565.5435268429396</v>
      </c>
      <c r="E21" s="70">
        <v>3613.8697618076958</v>
      </c>
      <c r="F21" s="70">
        <v>3597.4713393704292</v>
      </c>
      <c r="G21" s="70">
        <v>3655.3009038574696</v>
      </c>
      <c r="H21" s="70">
        <v>3333.9986001022257</v>
      </c>
      <c r="I21" s="70">
        <v>3364.9017509552496</v>
      </c>
      <c r="J21" s="70">
        <v>3394.5118697001599</v>
      </c>
      <c r="K21" s="70">
        <v>3525.9726365557644</v>
      </c>
      <c r="L21" s="70">
        <v>3444.0553697304244</v>
      </c>
      <c r="M21" s="70">
        <v>3439.0798194204799</v>
      </c>
    </row>
    <row r="22" spans="1:13" x14ac:dyDescent="0.2">
      <c r="A22" t="s">
        <v>7</v>
      </c>
      <c r="B22" s="37">
        <v>7086.2034050892589</v>
      </c>
      <c r="C22" s="62">
        <v>6899.7657056395174</v>
      </c>
      <c r="D22" s="70">
        <v>7398.7682413682569</v>
      </c>
      <c r="E22" s="70">
        <v>7548.0646297729754</v>
      </c>
      <c r="F22" s="70">
        <v>7874.9370106376509</v>
      </c>
      <c r="G22" s="70">
        <v>7941.9732970199993</v>
      </c>
      <c r="H22" s="70">
        <v>7850.6834803119482</v>
      </c>
      <c r="I22" s="70">
        <v>8184.4861293526974</v>
      </c>
      <c r="J22" s="70">
        <v>8382.8144696313611</v>
      </c>
      <c r="K22" s="70">
        <v>8525.3171498850952</v>
      </c>
      <c r="L22" s="70">
        <v>8611.6872398189025</v>
      </c>
      <c r="M22" s="70">
        <v>9037.61374075604</v>
      </c>
    </row>
    <row r="23" spans="1:13" x14ac:dyDescent="0.2">
      <c r="A23" t="s">
        <v>8</v>
      </c>
      <c r="B23" s="50">
        <v>0</v>
      </c>
      <c r="C23" s="63">
        <v>0</v>
      </c>
      <c r="D23" s="71">
        <v>0</v>
      </c>
      <c r="E23" s="71">
        <v>0</v>
      </c>
      <c r="F23" s="71">
        <v>0</v>
      </c>
      <c r="G23" s="71">
        <v>0</v>
      </c>
      <c r="H23" s="71">
        <v>0</v>
      </c>
      <c r="I23" s="71">
        <v>0</v>
      </c>
      <c r="J23" s="71">
        <v>0</v>
      </c>
      <c r="K23" s="71">
        <v>0</v>
      </c>
      <c r="L23" s="71">
        <v>0</v>
      </c>
      <c r="M23" s="71">
        <v>0</v>
      </c>
    </row>
    <row r="24" spans="1:13" ht="13.5" thickBot="1" x14ac:dyDescent="0.25">
      <c r="A24" s="6"/>
      <c r="B24" s="46"/>
      <c r="C24" s="64"/>
      <c r="D24" s="72"/>
      <c r="E24" s="72"/>
      <c r="F24" s="72"/>
      <c r="G24" s="72"/>
      <c r="H24" s="72"/>
      <c r="I24" s="72"/>
      <c r="J24" s="72"/>
      <c r="K24" s="72"/>
      <c r="L24" s="72"/>
      <c r="M24" s="64"/>
    </row>
    <row r="25" spans="1:13" x14ac:dyDescent="0.2">
      <c r="A25" s="1" t="s">
        <v>9</v>
      </c>
      <c r="B25" s="49">
        <f>B9+B19</f>
        <v>3074430.6879228619</v>
      </c>
      <c r="C25" s="65">
        <v>3158556.4128217297</v>
      </c>
      <c r="D25" s="73">
        <v>3256275.5005095978</v>
      </c>
      <c r="E25" s="73">
        <v>3269189.8212568476</v>
      </c>
      <c r="F25" s="73">
        <v>3278564.6330582411</v>
      </c>
      <c r="G25" s="73">
        <v>3375060.9298855211</v>
      </c>
      <c r="H25" s="73">
        <v>3358530.7810232472</v>
      </c>
      <c r="I25" s="73">
        <v>3420651.1637885496</v>
      </c>
      <c r="J25" s="73">
        <v>3447374.7795751072</v>
      </c>
      <c r="K25" s="73">
        <v>3455741.8662874755</v>
      </c>
      <c r="L25" s="73">
        <v>3511842.2673345394</v>
      </c>
      <c r="M25" s="65">
        <v>3575906.924418577</v>
      </c>
    </row>
    <row r="26" spans="1:13" ht="13.5" thickBot="1" x14ac:dyDescent="0.25">
      <c r="A26" s="20"/>
      <c r="B26" s="20"/>
      <c r="C26" s="20"/>
      <c r="D26" s="74"/>
      <c r="E26" s="74"/>
      <c r="F26" s="75"/>
      <c r="G26" s="75"/>
      <c r="H26" s="75"/>
      <c r="I26" s="75"/>
      <c r="J26" s="75"/>
      <c r="K26" s="75"/>
      <c r="L26" s="75"/>
      <c r="M26" s="75"/>
    </row>
    <row r="27" spans="1:13" s="76" customFormat="1" ht="35.25" customHeight="1" thickTop="1" x14ac:dyDescent="0.2">
      <c r="A27" s="98" t="s">
        <v>28</v>
      </c>
      <c r="B27" s="98"/>
      <c r="C27" s="98"/>
      <c r="D27" s="98"/>
      <c r="E27" s="98"/>
      <c r="F27" s="98"/>
      <c r="G27" s="98"/>
      <c r="H27" s="98"/>
      <c r="I27" s="98"/>
      <c r="J27" s="98"/>
      <c r="K27" s="98"/>
      <c r="L27" s="98"/>
      <c r="M27" s="98"/>
    </row>
    <row r="28" spans="1:13" ht="12.75" customHeight="1" x14ac:dyDescent="0.2">
      <c r="A28" s="97" t="s">
        <v>30</v>
      </c>
      <c r="B28" s="97"/>
      <c r="C28" s="97"/>
    </row>
    <row r="29" spans="1:13" ht="12.75" customHeight="1" x14ac:dyDescent="0.2">
      <c r="A29" s="95"/>
      <c r="B29" s="95"/>
    </row>
    <row r="30" spans="1:13" x14ac:dyDescent="0.2">
      <c r="A30" s="7"/>
    </row>
    <row r="31" spans="1:13" x14ac:dyDescent="0.2">
      <c r="A31" s="7"/>
    </row>
    <row r="32" spans="1:13" x14ac:dyDescent="0.2">
      <c r="A32" s="7"/>
    </row>
    <row r="33" spans="1:1" x14ac:dyDescent="0.2">
      <c r="A33" s="7"/>
    </row>
  </sheetData>
  <mergeCells count="3">
    <mergeCell ref="A29:B29"/>
    <mergeCell ref="A28:C28"/>
    <mergeCell ref="A27:M27"/>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33"/>
  <sheetViews>
    <sheetView workbookViewId="0">
      <pane xSplit="1" topLeftCell="B1" activePane="topRight" state="frozen"/>
      <selection activeCell="E1" sqref="E1:G2"/>
      <selection pane="topRight" activeCell="G19" sqref="G19"/>
    </sheetView>
  </sheetViews>
  <sheetFormatPr defaultRowHeight="12.75" x14ac:dyDescent="0.2"/>
  <cols>
    <col min="1" max="1" width="41.85546875" customWidth="1"/>
    <col min="2" max="55" width="13.7109375" customWidth="1"/>
  </cols>
  <sheetData>
    <row r="1" spans="1:13" ht="26.25" x14ac:dyDescent="0.4">
      <c r="A1" s="13" t="s">
        <v>20</v>
      </c>
      <c r="B1" s="14" t="s">
        <v>18</v>
      </c>
      <c r="C1" s="14"/>
      <c r="D1" s="15"/>
    </row>
    <row r="2" spans="1:13" x14ac:dyDescent="0.2">
      <c r="A2" s="14"/>
      <c r="B2" s="15"/>
      <c r="C2" s="15"/>
      <c r="D2" s="15"/>
    </row>
    <row r="3" spans="1:13" x14ac:dyDescent="0.2">
      <c r="A3" s="17" t="s">
        <v>32</v>
      </c>
    </row>
    <row r="4" spans="1:13" x14ac:dyDescent="0.2">
      <c r="A4" s="17" t="s">
        <v>22</v>
      </c>
    </row>
    <row r="5" spans="1:13" x14ac:dyDescent="0.2">
      <c r="B5" s="3"/>
    </row>
    <row r="6" spans="1:13" x14ac:dyDescent="0.2">
      <c r="A6" s="1" t="s">
        <v>16</v>
      </c>
    </row>
    <row r="7" spans="1:13" x14ac:dyDescent="0.2">
      <c r="A7" s="1" t="s">
        <v>23</v>
      </c>
    </row>
    <row r="8" spans="1:13" ht="13.5" thickBot="1" x14ac:dyDescent="0.25">
      <c r="B8" s="21">
        <v>43101</v>
      </c>
      <c r="C8" s="21">
        <v>43132</v>
      </c>
      <c r="D8" s="21">
        <v>43160</v>
      </c>
      <c r="E8" s="21">
        <v>43191</v>
      </c>
      <c r="F8" s="57">
        <v>43221</v>
      </c>
      <c r="G8" s="57">
        <v>43281</v>
      </c>
      <c r="H8" s="57">
        <v>43312</v>
      </c>
      <c r="I8" s="57">
        <v>43343</v>
      </c>
      <c r="J8" s="57">
        <v>43373</v>
      </c>
      <c r="K8" s="57">
        <v>43404</v>
      </c>
      <c r="L8" s="57">
        <v>43434</v>
      </c>
      <c r="M8" s="57">
        <v>43465</v>
      </c>
    </row>
    <row r="9" spans="1:13" ht="13.5" thickBot="1" x14ac:dyDescent="0.25">
      <c r="A9" s="19" t="s">
        <v>10</v>
      </c>
      <c r="B9" s="47">
        <v>3422714.8883616407</v>
      </c>
      <c r="C9" s="47">
        <v>3474826.9982945598</v>
      </c>
      <c r="D9" s="47">
        <v>3525437.4877839196</v>
      </c>
      <c r="E9" s="47">
        <v>3543044.8712619399</v>
      </c>
      <c r="F9" s="58">
        <v>3591263.1352494298</v>
      </c>
      <c r="G9" s="58">
        <v>3622590.3414403298</v>
      </c>
      <c r="H9" s="58">
        <v>3624833.5031097899</v>
      </c>
      <c r="I9" s="58">
        <v>3647001.2911139298</v>
      </c>
      <c r="J9" s="58">
        <v>3644559.8912876099</v>
      </c>
      <c r="K9" s="58">
        <v>3638453.9007809306</v>
      </c>
      <c r="L9" s="58">
        <v>3696121.8883693796</v>
      </c>
      <c r="M9" s="58">
        <v>3745250.4785147598</v>
      </c>
    </row>
    <row r="10" spans="1:13" x14ac:dyDescent="0.2">
      <c r="A10" t="s">
        <v>0</v>
      </c>
      <c r="B10" s="37">
        <v>815112.4979267501</v>
      </c>
      <c r="C10" s="37">
        <v>844782.92073340004</v>
      </c>
      <c r="D10" s="37">
        <v>892073.31962768</v>
      </c>
      <c r="E10" s="37">
        <v>855484.40574485995</v>
      </c>
      <c r="F10" s="67">
        <v>879291.96897700999</v>
      </c>
      <c r="G10" s="77">
        <v>883838.35442749003</v>
      </c>
      <c r="H10" s="77">
        <v>844009.89758769993</v>
      </c>
      <c r="I10" s="77">
        <v>865980.95778734004</v>
      </c>
      <c r="J10" s="77">
        <v>885979.27433670999</v>
      </c>
      <c r="K10" s="77">
        <v>824485.92349247006</v>
      </c>
      <c r="L10" s="77">
        <v>853889.57318658009</v>
      </c>
      <c r="M10" s="80">
        <v>872512.51331900991</v>
      </c>
    </row>
    <row r="11" spans="1:13" x14ac:dyDescent="0.2">
      <c r="A11" t="s">
        <v>31</v>
      </c>
      <c r="B11" s="37">
        <v>1135610.8569314203</v>
      </c>
      <c r="C11" s="37">
        <v>1151484.9644742</v>
      </c>
      <c r="D11" s="37">
        <v>1129826.2922716499</v>
      </c>
      <c r="E11" s="37">
        <v>1164175.8542654798</v>
      </c>
      <c r="F11" s="67">
        <v>1181581.4443718402</v>
      </c>
      <c r="G11" s="77">
        <v>1207242.99294036</v>
      </c>
      <c r="H11" s="77">
        <v>1253811.0590357201</v>
      </c>
      <c r="I11" s="77">
        <v>1316210.75157209</v>
      </c>
      <c r="J11" s="77">
        <v>1281220.1994249499</v>
      </c>
      <c r="K11" s="77">
        <v>1320070.0011807799</v>
      </c>
      <c r="L11" s="77">
        <v>1347858.77382816</v>
      </c>
      <c r="M11" s="80">
        <v>1370393.52699563</v>
      </c>
    </row>
    <row r="12" spans="1:13" x14ac:dyDescent="0.2">
      <c r="A12" t="s">
        <v>1</v>
      </c>
      <c r="B12" s="37">
        <v>72441.837990560001</v>
      </c>
      <c r="C12" s="37">
        <v>73058.166826839995</v>
      </c>
      <c r="D12" s="37">
        <v>74074.486957300003</v>
      </c>
      <c r="E12" s="37">
        <v>74161.091553349994</v>
      </c>
      <c r="F12" s="67">
        <v>75743.562173740007</v>
      </c>
      <c r="G12" s="77">
        <v>77737.243733220006</v>
      </c>
      <c r="H12" s="77">
        <v>76305.499089309989</v>
      </c>
      <c r="I12" s="77">
        <v>77424.604226399984</v>
      </c>
      <c r="J12" s="77">
        <v>79181.35968401999</v>
      </c>
      <c r="K12" s="77">
        <v>79544.183037130002</v>
      </c>
      <c r="L12" s="77">
        <v>79797.098762189999</v>
      </c>
      <c r="M12" s="80">
        <v>79555.94442484001</v>
      </c>
    </row>
    <row r="13" spans="1:13" x14ac:dyDescent="0.2">
      <c r="A13" t="s">
        <v>24</v>
      </c>
      <c r="B13" s="37">
        <v>972447.15684922994</v>
      </c>
      <c r="C13" s="37">
        <v>970376.82253246999</v>
      </c>
      <c r="D13" s="37">
        <v>984158.80485631002</v>
      </c>
      <c r="E13" s="37">
        <v>994509.67847150005</v>
      </c>
      <c r="F13" s="67">
        <v>993943.36598024005</v>
      </c>
      <c r="G13" s="77">
        <v>999274.10019517993</v>
      </c>
      <c r="H13" s="77">
        <v>1013807.16155086</v>
      </c>
      <c r="I13" s="77">
        <v>945719.05905170005</v>
      </c>
      <c r="J13" s="77">
        <v>954265.9471548599</v>
      </c>
      <c r="K13" s="77">
        <v>968499.58277623006</v>
      </c>
      <c r="L13" s="77">
        <v>965214.82603546011</v>
      </c>
      <c r="M13" s="80">
        <v>970547.23979471996</v>
      </c>
    </row>
    <row r="14" spans="1:13" x14ac:dyDescent="0.2">
      <c r="A14" t="s">
        <v>25</v>
      </c>
      <c r="B14" s="37">
        <v>376108.17273531004</v>
      </c>
      <c r="C14" s="37">
        <v>384000.81370438001</v>
      </c>
      <c r="D14" s="37">
        <v>393574.61433433997</v>
      </c>
      <c r="E14" s="37">
        <v>403242.60085336998</v>
      </c>
      <c r="F14" s="67">
        <v>407750.66513331997</v>
      </c>
      <c r="G14" s="77">
        <v>401505.66156976006</v>
      </c>
      <c r="H14" s="77">
        <v>384780.67129022995</v>
      </c>
      <c r="I14" s="77">
        <v>388540.43545316998</v>
      </c>
      <c r="J14" s="77">
        <v>392344.99800164002</v>
      </c>
      <c r="K14" s="77">
        <v>396655.29404209997</v>
      </c>
      <c r="L14" s="77">
        <v>401577.50735033001</v>
      </c>
      <c r="M14" s="80">
        <v>405768.31560530997</v>
      </c>
    </row>
    <row r="15" spans="1:13" x14ac:dyDescent="0.2">
      <c r="A15" t="s">
        <v>27</v>
      </c>
      <c r="B15" s="37">
        <v>6701.5593212799995</v>
      </c>
      <c r="C15" s="37">
        <v>6399.5939959000007</v>
      </c>
      <c r="D15" s="37">
        <v>6347.029000829998</v>
      </c>
      <c r="E15" s="37">
        <v>5807.9255786499998</v>
      </c>
      <c r="F15" s="67">
        <v>5943.9519505000007</v>
      </c>
      <c r="G15" s="77">
        <v>5348.0135976000001</v>
      </c>
      <c r="H15" s="77">
        <v>5688.8520096699995</v>
      </c>
      <c r="I15" s="77">
        <v>5139.18864416</v>
      </c>
      <c r="J15" s="77">
        <v>5097.9661390399997</v>
      </c>
      <c r="K15" s="77">
        <v>5586.0810861999989</v>
      </c>
      <c r="L15" s="77">
        <v>5111.4015011800002</v>
      </c>
      <c r="M15" s="80">
        <v>5061.0194661700007</v>
      </c>
    </row>
    <row r="16" spans="1:13" x14ac:dyDescent="0.2">
      <c r="A16" t="s">
        <v>3</v>
      </c>
      <c r="B16" s="37">
        <v>1823.5226072299999</v>
      </c>
      <c r="C16" s="37">
        <v>1813.76040928</v>
      </c>
      <c r="D16" s="37">
        <v>1764.1945819300001</v>
      </c>
      <c r="E16" s="37">
        <v>1752.8602936900002</v>
      </c>
      <c r="F16" s="67">
        <v>1713.8615948400002</v>
      </c>
      <c r="G16" s="77">
        <v>1682.9533085399999</v>
      </c>
      <c r="H16" s="77">
        <v>1643.5816720099999</v>
      </c>
      <c r="I16" s="77">
        <v>1622.25151067</v>
      </c>
      <c r="J16" s="77">
        <v>1608.07985596</v>
      </c>
      <c r="K16" s="77">
        <v>1556.7875634700001</v>
      </c>
      <c r="L16" s="77">
        <v>1542.08821564</v>
      </c>
      <c r="M16" s="80">
        <v>1436.0337233599998</v>
      </c>
    </row>
    <row r="17" spans="1:13" x14ac:dyDescent="0.2">
      <c r="A17" t="s">
        <v>4</v>
      </c>
      <c r="B17" s="37">
        <v>42469.28399986001</v>
      </c>
      <c r="C17" s="37">
        <v>42909.955618090004</v>
      </c>
      <c r="D17" s="37">
        <v>43618.746153880005</v>
      </c>
      <c r="E17" s="37">
        <v>43910.454501040003</v>
      </c>
      <c r="F17" s="67">
        <v>45294.315067940006</v>
      </c>
      <c r="G17" s="77">
        <v>45961.021668179994</v>
      </c>
      <c r="H17" s="77">
        <v>44786.780874290002</v>
      </c>
      <c r="I17" s="77">
        <v>46364.042868399993</v>
      </c>
      <c r="J17" s="77">
        <v>44862.066690430001</v>
      </c>
      <c r="K17" s="77">
        <v>42056.047602549996</v>
      </c>
      <c r="L17" s="77">
        <v>41130.619489839999</v>
      </c>
      <c r="M17" s="80">
        <v>39975.885185719999</v>
      </c>
    </row>
    <row r="18" spans="1:13" x14ac:dyDescent="0.2">
      <c r="B18" s="45"/>
      <c r="C18" s="45"/>
      <c r="D18" s="45"/>
      <c r="E18" s="45"/>
      <c r="F18" s="60"/>
      <c r="G18" s="60"/>
      <c r="H18" s="60"/>
      <c r="I18" s="60"/>
      <c r="J18" s="60"/>
      <c r="K18" s="60"/>
      <c r="L18" s="60"/>
      <c r="M18" s="60"/>
    </row>
    <row r="19" spans="1:13" ht="13.5" thickBot="1" x14ac:dyDescent="0.25">
      <c r="A19" s="2" t="s">
        <v>11</v>
      </c>
      <c r="B19" s="48">
        <v>123247.0438117067</v>
      </c>
      <c r="C19" s="48">
        <v>125940.76193847701</v>
      </c>
      <c r="D19" s="48">
        <v>129311.74266967144</v>
      </c>
      <c r="E19" s="48">
        <v>134493.78698282409</v>
      </c>
      <c r="F19" s="69">
        <v>143721.33907096871</v>
      </c>
      <c r="G19" s="69">
        <v>147604.91765695231</v>
      </c>
      <c r="H19" s="69">
        <v>142070.55731852091</v>
      </c>
      <c r="I19" s="69">
        <v>155605.48576650766</v>
      </c>
      <c r="J19" s="69">
        <v>151901.96718452562</v>
      </c>
      <c r="K19" s="69">
        <v>141668.14659572818</v>
      </c>
      <c r="L19" s="69">
        <v>147692.40638094777</v>
      </c>
      <c r="M19" s="69">
        <v>149011.45276153536</v>
      </c>
    </row>
    <row r="20" spans="1:13" x14ac:dyDescent="0.2">
      <c r="A20" t="s">
        <v>5</v>
      </c>
      <c r="B20" s="37">
        <v>110591.3849897667</v>
      </c>
      <c r="C20" s="37">
        <v>113255.9372733208</v>
      </c>
      <c r="D20" s="37">
        <v>116293.54406996144</v>
      </c>
      <c r="E20" s="37">
        <v>121125.94845430636</v>
      </c>
      <c r="F20" s="70">
        <v>129428.53422149901</v>
      </c>
      <c r="G20" s="70">
        <v>133754.87317912359</v>
      </c>
      <c r="H20" s="70">
        <v>128654.33324665434</v>
      </c>
      <c r="I20" s="70">
        <v>140822.12696544768</v>
      </c>
      <c r="J20" s="70">
        <v>137191.44865248227</v>
      </c>
      <c r="K20" s="70">
        <v>128129.69365236972</v>
      </c>
      <c r="L20" s="78">
        <v>133203.54425248352</v>
      </c>
      <c r="M20" s="78">
        <v>134283.86388790686</v>
      </c>
    </row>
    <row r="21" spans="1:13" x14ac:dyDescent="0.2">
      <c r="A21" t="s">
        <v>6</v>
      </c>
      <c r="B21" s="37">
        <v>3162.683599179999</v>
      </c>
      <c r="C21" s="37">
        <v>3249.2290752798299</v>
      </c>
      <c r="D21" s="37">
        <v>3336.28904113</v>
      </c>
      <c r="E21" s="37">
        <v>3517.719113312271</v>
      </c>
      <c r="F21" s="70">
        <v>3701.0628688664606</v>
      </c>
      <c r="G21" s="70">
        <v>3767.1987360588091</v>
      </c>
      <c r="H21" s="70">
        <v>3534.2200504082198</v>
      </c>
      <c r="I21" s="70">
        <v>3906.3920681500008</v>
      </c>
      <c r="J21" s="70">
        <v>3794.8147471265124</v>
      </c>
      <c r="K21" s="70">
        <v>3537.3656871507637</v>
      </c>
      <c r="L21" s="78">
        <v>3601.4582286076661</v>
      </c>
      <c r="M21" s="78">
        <v>3590.1103751552282</v>
      </c>
    </row>
    <row r="22" spans="1:13" x14ac:dyDescent="0.2">
      <c r="A22" t="s">
        <v>7</v>
      </c>
      <c r="B22" s="37">
        <v>9492.975222760002</v>
      </c>
      <c r="C22" s="37">
        <v>9435.5955898763823</v>
      </c>
      <c r="D22" s="37">
        <v>9681.9095585800005</v>
      </c>
      <c r="E22" s="37">
        <v>9850.1194152054541</v>
      </c>
      <c r="F22" s="70">
        <v>10591.741980603219</v>
      </c>
      <c r="G22" s="70">
        <v>10082.845741769917</v>
      </c>
      <c r="H22" s="70">
        <v>9882.0040214583587</v>
      </c>
      <c r="I22" s="70">
        <v>10876.966732909999</v>
      </c>
      <c r="J22" s="70">
        <v>10915.703784916852</v>
      </c>
      <c r="K22" s="70">
        <v>10001.087256207669</v>
      </c>
      <c r="L22" s="78">
        <v>10887.40389985659</v>
      </c>
      <c r="M22" s="78">
        <v>11137.478498473258</v>
      </c>
    </row>
    <row r="23" spans="1:13" x14ac:dyDescent="0.2">
      <c r="A23" t="s">
        <v>8</v>
      </c>
      <c r="B23" s="50">
        <v>0</v>
      </c>
      <c r="C23" s="50">
        <v>0</v>
      </c>
      <c r="D23" s="50">
        <v>0</v>
      </c>
      <c r="E23" s="50">
        <v>0</v>
      </c>
      <c r="F23" s="71">
        <v>0</v>
      </c>
      <c r="G23" s="71">
        <v>0</v>
      </c>
      <c r="H23" s="71">
        <v>0</v>
      </c>
      <c r="I23" s="71">
        <v>0</v>
      </c>
      <c r="J23" s="71">
        <v>0</v>
      </c>
      <c r="K23" s="71">
        <v>0</v>
      </c>
      <c r="L23" s="79">
        <v>0</v>
      </c>
      <c r="M23" s="79">
        <v>0</v>
      </c>
    </row>
    <row r="24" spans="1:13" ht="13.5" thickBot="1" x14ac:dyDescent="0.25">
      <c r="A24" s="6"/>
      <c r="B24" s="46"/>
      <c r="C24" s="64"/>
      <c r="D24" s="64"/>
      <c r="E24" s="64"/>
      <c r="F24" s="64"/>
      <c r="G24" s="64"/>
      <c r="H24" s="64"/>
      <c r="I24" s="64"/>
      <c r="J24" s="64"/>
      <c r="K24" s="64"/>
      <c r="L24" s="64"/>
      <c r="M24" s="64"/>
    </row>
    <row r="25" spans="1:13" x14ac:dyDescent="0.2">
      <c r="A25" s="1" t="s">
        <v>9</v>
      </c>
      <c r="B25" s="49">
        <v>3545961.9321733476</v>
      </c>
      <c r="C25" s="65">
        <v>3600767.7602330367</v>
      </c>
      <c r="D25" s="65">
        <v>3654749.2304535909</v>
      </c>
      <c r="E25" s="65">
        <v>3677538.658244764</v>
      </c>
      <c r="F25" s="65">
        <v>3734984.4743203986</v>
      </c>
      <c r="G25" s="65">
        <v>3770195.2590972823</v>
      </c>
      <c r="H25" s="65">
        <v>3766904.0604283107</v>
      </c>
      <c r="I25" s="65">
        <v>3802606.7768804375</v>
      </c>
      <c r="J25" s="65">
        <v>3796461.8584721354</v>
      </c>
      <c r="K25" s="65">
        <v>3780122.0473766588</v>
      </c>
      <c r="L25" s="65">
        <v>3843814.2947503272</v>
      </c>
      <c r="M25" s="65">
        <v>3894261.9312762953</v>
      </c>
    </row>
    <row r="26" spans="1:13" ht="13.5" thickBot="1" x14ac:dyDescent="0.25">
      <c r="A26" s="20"/>
      <c r="B26" s="20"/>
      <c r="C26" s="75"/>
      <c r="D26" s="75"/>
      <c r="E26" s="75"/>
      <c r="F26" s="75"/>
      <c r="G26" s="75"/>
      <c r="H26" s="75"/>
      <c r="I26" s="75"/>
      <c r="J26" s="75"/>
      <c r="K26" s="75"/>
      <c r="L26" s="75"/>
      <c r="M26" s="75"/>
    </row>
    <row r="27" spans="1:13" s="76" customFormat="1" ht="35.25" customHeight="1" thickTop="1" x14ac:dyDescent="0.2">
      <c r="A27" s="98" t="s">
        <v>28</v>
      </c>
      <c r="B27" s="98"/>
      <c r="C27" s="98"/>
      <c r="D27" s="98"/>
      <c r="E27" s="98"/>
      <c r="F27" s="98"/>
      <c r="G27" s="98"/>
      <c r="H27" s="98"/>
      <c r="I27" s="98"/>
      <c r="J27" s="98"/>
      <c r="K27" s="98"/>
      <c r="L27" s="98"/>
      <c r="M27" s="98"/>
    </row>
    <row r="28" spans="1:13" ht="12.75" customHeight="1" x14ac:dyDescent="0.2">
      <c r="A28" s="97" t="s">
        <v>30</v>
      </c>
      <c r="B28" s="97"/>
      <c r="C28" s="97"/>
    </row>
    <row r="29" spans="1:13" ht="12.75" customHeight="1" x14ac:dyDescent="0.2">
      <c r="A29" s="95"/>
      <c r="B29" s="95"/>
    </row>
    <row r="30" spans="1:13" x14ac:dyDescent="0.2">
      <c r="A30" s="7"/>
    </row>
    <row r="31" spans="1:13" x14ac:dyDescent="0.2">
      <c r="A31" s="7"/>
    </row>
    <row r="32" spans="1:13" x14ac:dyDescent="0.2">
      <c r="A32" s="7"/>
    </row>
    <row r="33" spans="1:1" x14ac:dyDescent="0.2">
      <c r="A33" s="7"/>
    </row>
  </sheetData>
  <mergeCells count="3">
    <mergeCell ref="A28:C28"/>
    <mergeCell ref="A29:B29"/>
    <mergeCell ref="A27:M27"/>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1667A-D4AA-4783-B749-7DFD9B30A494}">
  <sheetPr>
    <pageSetUpPr fitToPage="1"/>
  </sheetPr>
  <dimension ref="A1:M33"/>
  <sheetViews>
    <sheetView topLeftCell="A4" workbookViewId="0">
      <pane xSplit="1" topLeftCell="B1" activePane="topRight" state="frozen"/>
      <selection activeCell="E1" sqref="E1:G2"/>
      <selection pane="topRight" activeCell="E32" sqref="E32"/>
    </sheetView>
  </sheetViews>
  <sheetFormatPr defaultRowHeight="12.75" x14ac:dyDescent="0.2"/>
  <cols>
    <col min="1" max="1" width="41.85546875" customWidth="1"/>
    <col min="2" max="2" width="13.5703125" customWidth="1"/>
    <col min="3" max="44" width="13.7109375" customWidth="1"/>
  </cols>
  <sheetData>
    <row r="1" spans="1:13" ht="26.25" x14ac:dyDescent="0.4">
      <c r="A1" s="13" t="s">
        <v>20</v>
      </c>
      <c r="B1" s="14" t="s">
        <v>18</v>
      </c>
      <c r="C1" s="14"/>
      <c r="D1" s="15"/>
    </row>
    <row r="2" spans="1:13" x14ac:dyDescent="0.2">
      <c r="A2" s="14"/>
      <c r="B2" s="15"/>
      <c r="C2" s="15"/>
      <c r="D2" s="15"/>
    </row>
    <row r="3" spans="1:13" x14ac:dyDescent="0.2">
      <c r="A3" s="17" t="s">
        <v>32</v>
      </c>
    </row>
    <row r="4" spans="1:13" x14ac:dyDescent="0.2">
      <c r="A4" s="17" t="s">
        <v>22</v>
      </c>
    </row>
    <row r="5" spans="1:13" x14ac:dyDescent="0.2">
      <c r="B5" s="3"/>
    </row>
    <row r="6" spans="1:13" x14ac:dyDescent="0.2">
      <c r="A6" s="1" t="s">
        <v>16</v>
      </c>
    </row>
    <row r="7" spans="1:13" x14ac:dyDescent="0.2">
      <c r="A7" s="1" t="s">
        <v>23</v>
      </c>
    </row>
    <row r="8" spans="1:13" ht="13.5" thickBot="1" x14ac:dyDescent="0.25">
      <c r="B8" s="21">
        <v>43466</v>
      </c>
      <c r="C8" s="57">
        <v>43497</v>
      </c>
      <c r="D8" s="57">
        <v>43525</v>
      </c>
      <c r="E8" s="57">
        <v>43556</v>
      </c>
      <c r="F8" s="57">
        <v>43586</v>
      </c>
      <c r="G8" s="57">
        <v>43617</v>
      </c>
      <c r="H8" s="57">
        <v>43647</v>
      </c>
      <c r="I8" s="57">
        <v>43678</v>
      </c>
      <c r="J8" s="57">
        <v>43738</v>
      </c>
      <c r="K8" s="57">
        <v>43769</v>
      </c>
      <c r="L8" s="57">
        <v>43799</v>
      </c>
      <c r="M8" s="57">
        <v>43830</v>
      </c>
    </row>
    <row r="9" spans="1:13" ht="13.5" thickBot="1" x14ac:dyDescent="0.25">
      <c r="A9" s="19" t="s">
        <v>10</v>
      </c>
      <c r="B9" s="47">
        <v>3686023.5598506494</v>
      </c>
      <c r="C9" s="58">
        <v>3747398.0359871597</v>
      </c>
      <c r="D9" s="58">
        <v>3779572.2461736207</v>
      </c>
      <c r="E9" s="58">
        <v>3740251.5151891299</v>
      </c>
      <c r="F9" s="58">
        <v>3751925.3128942396</v>
      </c>
      <c r="G9" s="58">
        <v>3843217.3826026493</v>
      </c>
      <c r="H9" s="58">
        <v>3863053.2161137904</v>
      </c>
      <c r="I9" s="58">
        <v>3929201.9170582304</v>
      </c>
      <c r="J9" s="58">
        <v>4009746.6075985506</v>
      </c>
      <c r="K9" s="58">
        <v>3980674.7122243796</v>
      </c>
      <c r="L9" s="58">
        <v>4048367.1112882807</v>
      </c>
      <c r="M9" s="58">
        <v>4094851.80724341</v>
      </c>
    </row>
    <row r="10" spans="1:13" x14ac:dyDescent="0.2">
      <c r="A10" t="s">
        <v>0</v>
      </c>
      <c r="B10" s="37">
        <v>793325.4644974001</v>
      </c>
      <c r="C10" s="80">
        <v>820755.10465462995</v>
      </c>
      <c r="D10" s="80">
        <v>855144.75852580997</v>
      </c>
      <c r="E10" s="80">
        <v>763486.15571593994</v>
      </c>
      <c r="F10" s="80">
        <v>802736.36853882996</v>
      </c>
      <c r="G10" s="80">
        <v>843914.68674579996</v>
      </c>
      <c r="H10" s="77">
        <v>827007.98491612007</v>
      </c>
      <c r="I10" s="77">
        <v>853469.46308432997</v>
      </c>
      <c r="J10" s="77">
        <v>879461.23833809001</v>
      </c>
      <c r="K10" s="77">
        <v>804937.95785032003</v>
      </c>
      <c r="L10" s="81">
        <v>832913.16695543996</v>
      </c>
      <c r="M10" s="81">
        <v>855033.02270194993</v>
      </c>
    </row>
    <row r="11" spans="1:13" x14ac:dyDescent="0.2">
      <c r="A11" t="s">
        <v>31</v>
      </c>
      <c r="B11" s="37">
        <v>1399965.4677772599</v>
      </c>
      <c r="C11" s="80">
        <v>1427702.7690372099</v>
      </c>
      <c r="D11" s="80">
        <v>1399262.81167343</v>
      </c>
      <c r="E11" s="80">
        <v>1427876.4416346399</v>
      </c>
      <c r="F11" s="80">
        <v>1468447.2335570399</v>
      </c>
      <c r="G11" s="80">
        <v>1497497.4297658</v>
      </c>
      <c r="H11" s="77">
        <v>1527004.2291301</v>
      </c>
      <c r="I11" s="77">
        <v>1555771.20405613</v>
      </c>
      <c r="J11" s="77">
        <v>1589205.18344473</v>
      </c>
      <c r="K11" s="77">
        <v>1617805.4226052901</v>
      </c>
      <c r="L11" s="81">
        <v>1646603.0554544802</v>
      </c>
      <c r="M11" s="81">
        <v>1648894.4858862802</v>
      </c>
    </row>
    <row r="12" spans="1:13" x14ac:dyDescent="0.2">
      <c r="A12" t="s">
        <v>1</v>
      </c>
      <c r="B12" s="37">
        <v>77644.613425750009</v>
      </c>
      <c r="C12" s="80">
        <v>78901.791885069993</v>
      </c>
      <c r="D12" s="80">
        <v>80496.356889870003</v>
      </c>
      <c r="E12" s="80">
        <v>80879.061760830009</v>
      </c>
      <c r="F12" s="80">
        <v>81878.464291969998</v>
      </c>
      <c r="G12" s="80">
        <v>83151.608002619992</v>
      </c>
      <c r="H12" s="77">
        <v>81514.27426066999</v>
      </c>
      <c r="I12" s="77">
        <v>81619.086582179996</v>
      </c>
      <c r="J12" s="77">
        <v>82217.867296559998</v>
      </c>
      <c r="K12" s="77">
        <v>82391.516240900004</v>
      </c>
      <c r="L12" s="81">
        <v>83281.926126060003</v>
      </c>
      <c r="M12" s="81">
        <v>85627.015806609998</v>
      </c>
    </row>
    <row r="13" spans="1:13" x14ac:dyDescent="0.2">
      <c r="A13" t="s">
        <v>24</v>
      </c>
      <c r="B13" s="37">
        <v>988154.65941088996</v>
      </c>
      <c r="C13" s="80">
        <v>986404.03077144991</v>
      </c>
      <c r="D13" s="80">
        <v>1002800.3596657801</v>
      </c>
      <c r="E13" s="80">
        <v>1020494.1375844399</v>
      </c>
      <c r="F13" s="80">
        <v>943787.76676083007</v>
      </c>
      <c r="G13" s="80">
        <v>957244.43521227001</v>
      </c>
      <c r="H13" s="77">
        <v>974835.54465912993</v>
      </c>
      <c r="I13" s="77">
        <v>970162.54259453004</v>
      </c>
      <c r="J13" s="77">
        <v>979863.94662537996</v>
      </c>
      <c r="K13" s="77">
        <v>989485.62666817999</v>
      </c>
      <c r="L13" s="81">
        <v>992272.29604671011</v>
      </c>
      <c r="M13" s="81">
        <v>1006852.26052209</v>
      </c>
    </row>
    <row r="14" spans="1:13" x14ac:dyDescent="0.2">
      <c r="A14" t="s">
        <v>25</v>
      </c>
      <c r="B14" s="37">
        <v>382263.02199267002</v>
      </c>
      <c r="C14" s="80">
        <v>389789.69537623</v>
      </c>
      <c r="D14" s="80">
        <v>397306.04752377002</v>
      </c>
      <c r="E14" s="80">
        <v>404438.43128965999</v>
      </c>
      <c r="F14" s="80">
        <v>411982.53916915</v>
      </c>
      <c r="G14" s="80">
        <v>419261.80404517998</v>
      </c>
      <c r="H14" s="77">
        <v>411084.81583526998</v>
      </c>
      <c r="I14" s="77">
        <v>425168.05450382002</v>
      </c>
      <c r="J14" s="77">
        <v>437720.66590095998</v>
      </c>
      <c r="K14" s="77">
        <v>446029.39718471997</v>
      </c>
      <c r="L14" s="81">
        <v>452269.21008044999</v>
      </c>
      <c r="M14" s="81">
        <v>457982.33410172997</v>
      </c>
    </row>
    <row r="15" spans="1:13" x14ac:dyDescent="0.2">
      <c r="A15" t="s">
        <v>27</v>
      </c>
      <c r="B15" s="37">
        <v>4705.9858018899995</v>
      </c>
      <c r="C15" s="80">
        <v>4408.2894100000003</v>
      </c>
      <c r="D15" s="80">
        <v>4371.47245355</v>
      </c>
      <c r="E15" s="80">
        <v>4033.7106009399999</v>
      </c>
      <c r="F15" s="80">
        <v>3997.2170377100001</v>
      </c>
      <c r="G15" s="80">
        <v>3958.9978889600002</v>
      </c>
      <c r="H15" s="77">
        <v>3922.8389958499997</v>
      </c>
      <c r="I15" s="77">
        <v>5465.0761558099994</v>
      </c>
      <c r="J15" s="77">
        <v>3852.8727657899999</v>
      </c>
      <c r="K15" s="77">
        <v>3806.0849202899999</v>
      </c>
      <c r="L15" s="81">
        <v>3768.5108469100005</v>
      </c>
      <c r="M15" s="81">
        <v>3734.6553889700003</v>
      </c>
    </row>
    <row r="16" spans="1:13" x14ac:dyDescent="0.2">
      <c r="A16" t="s">
        <v>3</v>
      </c>
      <c r="B16" s="37">
        <v>1431.8976666900001</v>
      </c>
      <c r="C16" s="80">
        <v>1423.53890176</v>
      </c>
      <c r="D16" s="80">
        <v>1390.5206246300002</v>
      </c>
      <c r="E16" s="80">
        <v>1370.8306553599998</v>
      </c>
      <c r="F16" s="80">
        <v>1350.5112524799999</v>
      </c>
      <c r="G16" s="80">
        <v>1318.2077947400001</v>
      </c>
      <c r="H16" s="77">
        <v>1283.3413821300001</v>
      </c>
      <c r="I16" s="77">
        <v>1247.6399113699999</v>
      </c>
      <c r="J16" s="77">
        <v>1229.6188770199999</v>
      </c>
      <c r="K16" s="77">
        <v>1187.3404127700001</v>
      </c>
      <c r="L16" s="81">
        <v>1171.4625150499999</v>
      </c>
      <c r="M16" s="81">
        <v>1115.49221487</v>
      </c>
    </row>
    <row r="17" spans="1:13" x14ac:dyDescent="0.2">
      <c r="A17" t="s">
        <v>4</v>
      </c>
      <c r="B17" s="37">
        <v>38532.449278100001</v>
      </c>
      <c r="C17" s="80">
        <v>38012.815950810007</v>
      </c>
      <c r="D17" s="80">
        <v>38799.918816780002</v>
      </c>
      <c r="E17" s="80">
        <v>37672.74594732</v>
      </c>
      <c r="F17" s="80">
        <v>37745.212286229995</v>
      </c>
      <c r="G17" s="80">
        <v>36870.213147279996</v>
      </c>
      <c r="H17" s="77">
        <v>36400.186934519996</v>
      </c>
      <c r="I17" s="77">
        <v>36298.850170060003</v>
      </c>
      <c r="J17" s="77">
        <v>36195.214350020004</v>
      </c>
      <c r="K17" s="77">
        <v>35031.366341909998</v>
      </c>
      <c r="L17" s="81">
        <v>36087.483263180009</v>
      </c>
      <c r="M17" s="81">
        <v>35612.540620910004</v>
      </c>
    </row>
    <row r="18" spans="1:13" x14ac:dyDescent="0.2">
      <c r="B18" s="45"/>
      <c r="C18" s="60"/>
      <c r="D18" s="60"/>
      <c r="E18" s="60"/>
      <c r="F18" s="60"/>
      <c r="G18" s="60"/>
      <c r="H18" s="60"/>
      <c r="I18" s="60"/>
      <c r="J18" s="60"/>
      <c r="K18" s="60"/>
      <c r="L18" s="60"/>
      <c r="M18" s="60"/>
    </row>
    <row r="19" spans="1:13" ht="13.5" thickBot="1" x14ac:dyDescent="0.25">
      <c r="A19" s="2" t="s">
        <v>11</v>
      </c>
      <c r="B19" s="48">
        <v>139558.60033426469</v>
      </c>
      <c r="C19" s="69">
        <v>142588.91579326038</v>
      </c>
      <c r="D19" s="69">
        <v>154539.27758211736</v>
      </c>
      <c r="E19" s="69">
        <v>156092.66405453702</v>
      </c>
      <c r="F19" s="69">
        <v>156353.69340857235</v>
      </c>
      <c r="G19" s="69">
        <v>152456.23556546922</v>
      </c>
      <c r="H19" s="69">
        <v>147618.53995332768</v>
      </c>
      <c r="I19" s="69">
        <v>161477.45390509765</v>
      </c>
      <c r="J19" s="69">
        <v>163073.61321723909</v>
      </c>
      <c r="K19" s="69">
        <v>155284.65133587836</v>
      </c>
      <c r="L19" s="69">
        <v>172501.39930765156</v>
      </c>
      <c r="M19" s="69">
        <v>166391.61093525868</v>
      </c>
    </row>
    <row r="20" spans="1:13" x14ac:dyDescent="0.2">
      <c r="A20" t="s">
        <v>5</v>
      </c>
      <c r="B20" s="37">
        <v>125310.72325517856</v>
      </c>
      <c r="C20" s="78">
        <v>128142.40159905283</v>
      </c>
      <c r="D20" s="78">
        <v>139571.08269776677</v>
      </c>
      <c r="E20" s="78">
        <v>141137.09325888555</v>
      </c>
      <c r="F20" s="78">
        <v>141500.90442531949</v>
      </c>
      <c r="G20" s="78">
        <v>138622.41195755411</v>
      </c>
      <c r="H20" s="78">
        <v>134410.99641669824</v>
      </c>
      <c r="I20" s="78">
        <v>146912.90107737257</v>
      </c>
      <c r="J20" s="78">
        <v>148360.93313383602</v>
      </c>
      <c r="K20" s="78">
        <v>140718.68040218836</v>
      </c>
      <c r="L20" s="78">
        <v>157227.07223804644</v>
      </c>
      <c r="M20" s="78">
        <v>151081.37680323867</v>
      </c>
    </row>
    <row r="21" spans="1:13" x14ac:dyDescent="0.2">
      <c r="A21" t="s">
        <v>6</v>
      </c>
      <c r="B21" s="37">
        <v>3403.459074173109</v>
      </c>
      <c r="C21" s="78">
        <v>3491.3366455794503</v>
      </c>
      <c r="D21" s="78">
        <v>3647.4039679185935</v>
      </c>
      <c r="E21" s="78">
        <v>3692.0658786690956</v>
      </c>
      <c r="F21" s="78">
        <v>3602.4575033028841</v>
      </c>
      <c r="G21" s="78">
        <v>3439.114081346268</v>
      </c>
      <c r="H21" s="78">
        <v>3234.1257044203003</v>
      </c>
      <c r="I21" s="78">
        <v>3558.8881403536648</v>
      </c>
      <c r="J21" s="78">
        <v>3637.7887678133557</v>
      </c>
      <c r="K21" s="78">
        <v>3511.3831729399999</v>
      </c>
      <c r="L21" s="78">
        <v>3612.7950073459201</v>
      </c>
      <c r="M21" s="78">
        <v>3459.2467402965622</v>
      </c>
    </row>
    <row r="22" spans="1:13" x14ac:dyDescent="0.2">
      <c r="A22" t="s">
        <v>7</v>
      </c>
      <c r="B22" s="37">
        <v>10844.41800491303</v>
      </c>
      <c r="C22" s="78">
        <v>10955.177548628111</v>
      </c>
      <c r="D22" s="78">
        <v>11320.790916431972</v>
      </c>
      <c r="E22" s="78">
        <v>11263.50491698238</v>
      </c>
      <c r="F22" s="78">
        <v>11250.331479949975</v>
      </c>
      <c r="G22" s="78">
        <v>10394.709526568844</v>
      </c>
      <c r="H22" s="78">
        <v>9973.4178322091593</v>
      </c>
      <c r="I22" s="78">
        <v>11005.664687371409</v>
      </c>
      <c r="J22" s="78">
        <v>11074.891315589706</v>
      </c>
      <c r="K22" s="78">
        <v>11054.587760749999</v>
      </c>
      <c r="L22" s="78">
        <v>11661.532062259201</v>
      </c>
      <c r="M22" s="78">
        <v>11850.987391723451</v>
      </c>
    </row>
    <row r="23" spans="1:13" x14ac:dyDescent="0.2">
      <c r="A23" t="s">
        <v>8</v>
      </c>
      <c r="B23" s="50">
        <v>0</v>
      </c>
      <c r="C23" s="79">
        <v>0</v>
      </c>
      <c r="D23" s="79">
        <v>0</v>
      </c>
      <c r="E23" s="79">
        <v>0</v>
      </c>
      <c r="F23" s="79">
        <v>0</v>
      </c>
      <c r="G23" s="79">
        <v>0</v>
      </c>
      <c r="H23" s="79">
        <v>0</v>
      </c>
      <c r="I23" s="79">
        <v>0</v>
      </c>
      <c r="J23" s="79">
        <v>0</v>
      </c>
      <c r="K23" s="79">
        <v>0</v>
      </c>
      <c r="L23" s="79">
        <v>0</v>
      </c>
      <c r="M23" s="79">
        <v>0</v>
      </c>
    </row>
    <row r="24" spans="1:13" ht="13.5" thickBot="1" x14ac:dyDescent="0.25">
      <c r="A24" s="6"/>
      <c r="B24" s="46"/>
      <c r="C24" s="64"/>
      <c r="D24" s="64"/>
      <c r="E24" s="64"/>
      <c r="F24" s="64"/>
      <c r="G24" s="64"/>
      <c r="H24" s="64"/>
      <c r="I24" s="64"/>
      <c r="J24" s="64"/>
      <c r="K24" s="64"/>
      <c r="L24" s="64"/>
      <c r="M24" s="64"/>
    </row>
    <row r="25" spans="1:13" x14ac:dyDescent="0.2">
      <c r="A25" s="1" t="s">
        <v>9</v>
      </c>
      <c r="B25" s="49">
        <v>3825582.1601849142</v>
      </c>
      <c r="C25" s="65">
        <v>3889986.9517804203</v>
      </c>
      <c r="D25" s="65">
        <v>3934111.523755738</v>
      </c>
      <c r="E25" s="65">
        <v>3896344.1792436671</v>
      </c>
      <c r="F25" s="65">
        <v>3908279.0063028121</v>
      </c>
      <c r="G25" s="65">
        <v>3995673.6181681184</v>
      </c>
      <c r="H25" s="65">
        <v>4010671.7560671181</v>
      </c>
      <c r="I25" s="65">
        <v>4090679.3709633281</v>
      </c>
      <c r="J25" s="65">
        <v>4172820.2208157899</v>
      </c>
      <c r="K25" s="65">
        <v>4135959.3635602579</v>
      </c>
      <c r="L25" s="65">
        <v>4220868.5105959326</v>
      </c>
      <c r="M25" s="65">
        <v>4261243.4181786682</v>
      </c>
    </row>
    <row r="26" spans="1:13" x14ac:dyDescent="0.2">
      <c r="A26" s="20"/>
      <c r="B26" s="20"/>
      <c r="C26" s="75"/>
      <c r="D26" s="75"/>
      <c r="E26" s="75"/>
      <c r="F26" s="75"/>
      <c r="G26" s="75"/>
      <c r="H26" s="75"/>
      <c r="I26" s="75"/>
      <c r="J26" s="75"/>
      <c r="K26" s="75"/>
      <c r="L26" s="75"/>
      <c r="M26" s="75"/>
    </row>
    <row r="27" spans="1:13" s="76" customFormat="1" ht="35.25" customHeight="1" x14ac:dyDescent="0.2">
      <c r="A27" s="96" t="s">
        <v>28</v>
      </c>
      <c r="B27" s="96"/>
      <c r="C27" s="96"/>
      <c r="D27" s="96"/>
      <c r="E27" s="96"/>
      <c r="F27" s="96"/>
      <c r="G27" s="96"/>
      <c r="H27" s="96"/>
      <c r="I27" s="96"/>
      <c r="J27" s="96"/>
      <c r="K27" s="96"/>
      <c r="L27" s="96"/>
      <c r="M27" s="96"/>
    </row>
    <row r="28" spans="1:13" ht="13.5" customHeight="1" x14ac:dyDescent="0.2">
      <c r="A28" s="99" t="s">
        <v>30</v>
      </c>
      <c r="B28" s="99"/>
      <c r="C28" s="99"/>
      <c r="D28" s="99"/>
    </row>
    <row r="29" spans="1:13" ht="12.75" customHeight="1" x14ac:dyDescent="0.2">
      <c r="A29" s="95"/>
      <c r="B29" s="95"/>
    </row>
    <row r="30" spans="1:13" x14ac:dyDescent="0.2">
      <c r="A30" s="7"/>
    </row>
    <row r="31" spans="1:13" x14ac:dyDescent="0.2">
      <c r="A31" s="7"/>
    </row>
    <row r="32" spans="1:13" x14ac:dyDescent="0.2">
      <c r="A32" s="7"/>
    </row>
    <row r="33" spans="1:1" x14ac:dyDescent="0.2">
      <c r="A33" s="7"/>
    </row>
  </sheetData>
  <mergeCells count="3">
    <mergeCell ref="A29:B29"/>
    <mergeCell ref="A28:D28"/>
    <mergeCell ref="A27:M27"/>
  </mergeCells>
  <pageMargins left="0.78740157499999996" right="0.78740157499999996" top="0.984251969" bottom="0.984251969" header="0.49212598499999999" footer="0.49212598499999999"/>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B21A-07C7-4C4E-A385-BC6CB7D29B47}">
  <sheetPr>
    <pageSetUpPr fitToPage="1"/>
  </sheetPr>
  <dimension ref="A1:O33"/>
  <sheetViews>
    <sheetView tabSelected="1" workbookViewId="0">
      <pane xSplit="1" topLeftCell="B1" activePane="topRight" state="frozen"/>
      <selection activeCell="E1" sqref="E1:G2"/>
      <selection pane="topRight" activeCell="G1" sqref="G1:L5"/>
    </sheetView>
  </sheetViews>
  <sheetFormatPr defaultRowHeight="12.75" x14ac:dyDescent="0.2"/>
  <cols>
    <col min="1" max="1" width="41.85546875" style="83" customWidth="1"/>
    <col min="2" max="2" width="13.5703125" style="83" customWidth="1"/>
    <col min="3" max="11" width="13.7109375" style="83" customWidth="1"/>
    <col min="12" max="12" width="11.28515625" style="83" customWidth="1"/>
    <col min="13" max="44" width="13.7109375" style="83" customWidth="1"/>
    <col min="45" max="16384" width="9.140625" style="83"/>
  </cols>
  <sheetData>
    <row r="1" spans="1:15" ht="26.25" customHeight="1" x14ac:dyDescent="0.4">
      <c r="A1" s="13" t="s">
        <v>20</v>
      </c>
      <c r="B1" s="14" t="s">
        <v>18</v>
      </c>
      <c r="C1" s="14"/>
      <c r="D1" s="15"/>
      <c r="F1" s="91"/>
      <c r="G1" s="100" t="s">
        <v>34</v>
      </c>
      <c r="H1" s="101"/>
      <c r="I1" s="101"/>
      <c r="J1" s="101"/>
      <c r="K1" s="101"/>
      <c r="L1" s="102"/>
      <c r="M1" s="90"/>
    </row>
    <row r="2" spans="1:15" x14ac:dyDescent="0.2">
      <c r="A2" s="14"/>
      <c r="B2" s="15"/>
      <c r="C2" s="15"/>
      <c r="D2" s="15"/>
      <c r="F2" s="91"/>
      <c r="G2" s="103"/>
      <c r="H2" s="104"/>
      <c r="I2" s="104"/>
      <c r="J2" s="104"/>
      <c r="K2" s="104"/>
      <c r="L2" s="105"/>
      <c r="M2" s="90"/>
    </row>
    <row r="3" spans="1:15" x14ac:dyDescent="0.2">
      <c r="A3" s="17" t="s">
        <v>32</v>
      </c>
      <c r="F3" s="91"/>
      <c r="G3" s="103"/>
      <c r="H3" s="104"/>
      <c r="I3" s="104"/>
      <c r="J3" s="104"/>
      <c r="K3" s="104"/>
      <c r="L3" s="105"/>
      <c r="M3" s="90"/>
    </row>
    <row r="4" spans="1:15" x14ac:dyDescent="0.2">
      <c r="A4" s="17" t="s">
        <v>22</v>
      </c>
      <c r="F4" s="91"/>
      <c r="G4" s="103"/>
      <c r="H4" s="104"/>
      <c r="I4" s="104"/>
      <c r="J4" s="104"/>
      <c r="K4" s="104"/>
      <c r="L4" s="105"/>
      <c r="M4" s="90"/>
    </row>
    <row r="5" spans="1:15" x14ac:dyDescent="0.2">
      <c r="B5" s="3"/>
      <c r="G5" s="106"/>
      <c r="H5" s="107"/>
      <c r="I5" s="107"/>
      <c r="J5" s="107"/>
      <c r="K5" s="107"/>
      <c r="L5" s="108"/>
    </row>
    <row r="6" spans="1:15" x14ac:dyDescent="0.2">
      <c r="A6" s="82" t="s">
        <v>16</v>
      </c>
    </row>
    <row r="7" spans="1:15" x14ac:dyDescent="0.2">
      <c r="A7" s="82" t="s">
        <v>23</v>
      </c>
    </row>
    <row r="8" spans="1:15" ht="13.5" customHeight="1" thickBot="1" x14ac:dyDescent="0.25">
      <c r="B8" s="57">
        <v>43861</v>
      </c>
      <c r="C8" s="57">
        <v>43890</v>
      </c>
      <c r="D8" s="57">
        <v>43921</v>
      </c>
      <c r="E8" s="57">
        <v>43951</v>
      </c>
      <c r="F8" s="57">
        <v>43982</v>
      </c>
      <c r="G8" s="57">
        <v>44012</v>
      </c>
      <c r="H8" s="57">
        <v>44043</v>
      </c>
      <c r="I8" s="57">
        <v>44074</v>
      </c>
      <c r="J8" s="89"/>
      <c r="K8" s="89"/>
      <c r="L8" s="89"/>
      <c r="M8" s="88"/>
      <c r="N8" s="88"/>
      <c r="O8" s="88"/>
    </row>
    <row r="9" spans="1:15" ht="13.5" thickBot="1" x14ac:dyDescent="0.25">
      <c r="A9" s="19" t="s">
        <v>10</v>
      </c>
      <c r="B9" s="58">
        <v>4071625.5464496901</v>
      </c>
      <c r="C9" s="58">
        <v>4114508.6253096298</v>
      </c>
      <c r="D9" s="58">
        <v>4020522.8407999501</v>
      </c>
      <c r="E9" s="58">
        <v>3957727.954790629</v>
      </c>
      <c r="F9" s="58">
        <v>4046793.1617304301</v>
      </c>
      <c r="G9" s="58">
        <v>4164491.9664103393</v>
      </c>
      <c r="H9" s="58">
        <v>4130981.8857455398</v>
      </c>
      <c r="I9" s="58">
        <v>4186345.9429831402</v>
      </c>
      <c r="J9" s="89"/>
      <c r="K9" s="89"/>
      <c r="L9" s="89"/>
      <c r="M9" s="88"/>
      <c r="N9" s="88"/>
      <c r="O9" s="88"/>
    </row>
    <row r="10" spans="1:15" x14ac:dyDescent="0.2">
      <c r="A10" s="83" t="s">
        <v>0</v>
      </c>
      <c r="B10" s="81">
        <v>799223.07092397998</v>
      </c>
      <c r="C10" s="87">
        <v>825515.47959975002</v>
      </c>
      <c r="D10" s="87">
        <v>839001.14270445995</v>
      </c>
      <c r="E10" s="87">
        <v>744453.99669166992</v>
      </c>
      <c r="F10" s="87">
        <v>789551.33588775992</v>
      </c>
      <c r="G10" s="87">
        <v>855992.75018331991</v>
      </c>
      <c r="H10" s="87">
        <v>782186.52768108994</v>
      </c>
      <c r="I10" s="87">
        <v>871961.48574615002</v>
      </c>
      <c r="J10" s="89"/>
      <c r="K10" s="89"/>
      <c r="L10"/>
      <c r="M10" s="88"/>
      <c r="N10" s="88"/>
      <c r="O10" s="88"/>
    </row>
    <row r="11" spans="1:15" x14ac:dyDescent="0.2">
      <c r="A11" s="83" t="s">
        <v>31</v>
      </c>
      <c r="B11" s="81">
        <v>1669895.9872332101</v>
      </c>
      <c r="C11" s="87">
        <v>1679218.5908143201</v>
      </c>
      <c r="D11" s="87">
        <v>1585373.1106143</v>
      </c>
      <c r="E11" s="87">
        <v>1606838.2514985199</v>
      </c>
      <c r="F11" s="87">
        <v>1646736.2069505397</v>
      </c>
      <c r="G11" s="87">
        <v>1673717.5889339</v>
      </c>
      <c r="H11" s="87">
        <v>1706641.3375801998</v>
      </c>
      <c r="I11" s="87">
        <v>1723934.3436895502</v>
      </c>
      <c r="J11" s="89"/>
      <c r="K11" s="89"/>
      <c r="L11"/>
      <c r="M11" s="88"/>
      <c r="N11" s="88"/>
      <c r="O11" s="88"/>
    </row>
    <row r="12" spans="1:15" x14ac:dyDescent="0.2">
      <c r="A12" s="83" t="s">
        <v>1</v>
      </c>
      <c r="B12" s="81">
        <v>84045.688212270004</v>
      </c>
      <c r="C12" s="87">
        <v>84661.805559470013</v>
      </c>
      <c r="D12" s="87">
        <v>86333.252196179994</v>
      </c>
      <c r="E12" s="87">
        <v>86651.353941830006</v>
      </c>
      <c r="F12" s="87">
        <v>87576.227932259993</v>
      </c>
      <c r="G12" s="87">
        <v>89581.576439889992</v>
      </c>
      <c r="H12" s="87">
        <v>89403.303724750003</v>
      </c>
      <c r="I12" s="87">
        <v>92540.918384909994</v>
      </c>
      <c r="J12" s="89"/>
      <c r="K12" s="89"/>
      <c r="L12"/>
      <c r="M12" s="88"/>
      <c r="N12" s="88"/>
      <c r="O12" s="88"/>
    </row>
    <row r="13" spans="1:15" x14ac:dyDescent="0.2">
      <c r="A13" s="83" t="s">
        <v>24</v>
      </c>
      <c r="B13" s="81">
        <v>1030325.7709222999</v>
      </c>
      <c r="C13" s="87">
        <v>1032034.0751259201</v>
      </c>
      <c r="D13" s="87">
        <v>1016661.2937826101</v>
      </c>
      <c r="E13" s="87">
        <v>1022819.4386536099</v>
      </c>
      <c r="F13" s="87">
        <v>1021673.56905828</v>
      </c>
      <c r="G13" s="87">
        <v>1039067.7566937801</v>
      </c>
      <c r="H13" s="87">
        <v>1062644.22449581</v>
      </c>
      <c r="I13" s="87">
        <v>1000746.84579333</v>
      </c>
      <c r="J13" s="89"/>
      <c r="K13" s="89"/>
      <c r="L13"/>
      <c r="M13" s="88"/>
      <c r="N13" s="88"/>
      <c r="O13" s="88"/>
    </row>
    <row r="14" spans="1:15" x14ac:dyDescent="0.2">
      <c r="A14" s="83" t="s">
        <v>25</v>
      </c>
      <c r="B14" s="81">
        <v>446790.89488616999</v>
      </c>
      <c r="C14" s="87">
        <v>451693.64346062997</v>
      </c>
      <c r="D14" s="87">
        <v>449167.8120954</v>
      </c>
      <c r="E14" s="87">
        <v>453081.76637033996</v>
      </c>
      <c r="F14" s="87">
        <v>457540.91635010001</v>
      </c>
      <c r="G14" s="87">
        <v>462473.01563773002</v>
      </c>
      <c r="H14" s="87">
        <v>448798.91491474997</v>
      </c>
      <c r="I14" s="87">
        <v>454255.08447696996</v>
      </c>
      <c r="J14" s="89"/>
      <c r="K14" s="89"/>
      <c r="L14"/>
      <c r="M14" s="88"/>
      <c r="N14" s="88"/>
      <c r="O14" s="88"/>
    </row>
    <row r="15" spans="1:15" x14ac:dyDescent="0.2">
      <c r="A15" s="83" t="s">
        <v>27</v>
      </c>
      <c r="B15" s="81">
        <v>3983.0008588500004</v>
      </c>
      <c r="C15" s="87">
        <v>3602.2786771000006</v>
      </c>
      <c r="D15" s="87">
        <v>4048.3318314000003</v>
      </c>
      <c r="E15" s="87">
        <v>3657.2027800800001</v>
      </c>
      <c r="F15" s="87">
        <v>3574.2228029899993</v>
      </c>
      <c r="G15" s="87">
        <v>3652.4091314799998</v>
      </c>
      <c r="H15" s="87">
        <v>3537.4885770699998</v>
      </c>
      <c r="I15" s="87">
        <v>3504.1061060900001</v>
      </c>
      <c r="J15" s="89"/>
      <c r="K15" s="89"/>
      <c r="L15"/>
      <c r="M15" s="88"/>
      <c r="N15" s="88"/>
      <c r="O15" s="88"/>
    </row>
    <row r="16" spans="1:15" x14ac:dyDescent="0.2">
      <c r="A16" s="83" t="s">
        <v>3</v>
      </c>
      <c r="B16" s="81">
        <v>1103.46790169</v>
      </c>
      <c r="C16" s="87">
        <v>1101.72084896</v>
      </c>
      <c r="D16" s="87">
        <v>1065.0862980100001</v>
      </c>
      <c r="E16" s="87">
        <v>1045.66382273</v>
      </c>
      <c r="F16" s="87">
        <v>1026.4563047000001</v>
      </c>
      <c r="G16" s="87">
        <v>1004.0295131900001</v>
      </c>
      <c r="H16" s="87">
        <v>983.44963789999997</v>
      </c>
      <c r="I16" s="87">
        <v>964.34126241000001</v>
      </c>
      <c r="L16"/>
    </row>
    <row r="17" spans="1:13" x14ac:dyDescent="0.2">
      <c r="A17" s="83" t="s">
        <v>4</v>
      </c>
      <c r="B17" s="81">
        <v>36257.665511219995</v>
      </c>
      <c r="C17" s="87">
        <v>36681.03122348</v>
      </c>
      <c r="D17" s="87">
        <v>38872.811277589994</v>
      </c>
      <c r="E17" s="87">
        <v>39180.281031850005</v>
      </c>
      <c r="F17" s="87">
        <v>39114.226443800006</v>
      </c>
      <c r="G17" s="87">
        <v>39002.839877049984</v>
      </c>
      <c r="H17" s="87">
        <v>36786.639133969999</v>
      </c>
      <c r="I17" s="87">
        <v>38438.817523729995</v>
      </c>
      <c r="L17"/>
    </row>
    <row r="18" spans="1:13" x14ac:dyDescent="0.2">
      <c r="B18" s="60"/>
      <c r="C18" s="60"/>
      <c r="D18" s="60"/>
      <c r="E18" s="60"/>
      <c r="F18" s="60"/>
      <c r="G18" s="60"/>
      <c r="H18" s="60"/>
      <c r="I18" s="60"/>
    </row>
    <row r="19" spans="1:13" ht="13.5" thickBot="1" x14ac:dyDescent="0.25">
      <c r="A19" s="2" t="s">
        <v>11</v>
      </c>
      <c r="B19" s="69">
        <v>172831.58623035913</v>
      </c>
      <c r="C19" s="69">
        <v>181834.66120651283</v>
      </c>
      <c r="D19" s="69">
        <v>209250.0461834592</v>
      </c>
      <c r="E19" s="69">
        <v>218085.56592885996</v>
      </c>
      <c r="F19" s="69">
        <v>219000.47392170638</v>
      </c>
      <c r="G19" s="69">
        <v>240167.32099082213</v>
      </c>
      <c r="H19" s="69">
        <v>227228.40822003697</v>
      </c>
      <c r="I19" s="69">
        <v>239418.75427390239</v>
      </c>
    </row>
    <row r="20" spans="1:13" x14ac:dyDescent="0.2">
      <c r="A20" s="83" t="s">
        <v>5</v>
      </c>
      <c r="B20" s="78">
        <v>156878.04550406703</v>
      </c>
      <c r="C20" s="78">
        <v>164939.66220811609</v>
      </c>
      <c r="D20" s="78">
        <v>189876.4852864338</v>
      </c>
      <c r="E20" s="78">
        <v>197802.11240877191</v>
      </c>
      <c r="F20" s="78">
        <v>198359.28237872728</v>
      </c>
      <c r="G20" s="78">
        <v>220242.7716260156</v>
      </c>
      <c r="H20" s="78">
        <v>207567.17728310102</v>
      </c>
      <c r="I20" s="78">
        <v>218185.06921214942</v>
      </c>
      <c r="L20"/>
    </row>
    <row r="21" spans="1:13" x14ac:dyDescent="0.2">
      <c r="A21" s="83" t="s">
        <v>6</v>
      </c>
      <c r="B21" s="78">
        <v>3505.355292295189</v>
      </c>
      <c r="C21" s="78">
        <v>3834.136069933752</v>
      </c>
      <c r="D21" s="78">
        <v>4438.4709346845275</v>
      </c>
      <c r="E21" s="78">
        <v>4691.3255709396299</v>
      </c>
      <c r="F21" s="78">
        <v>4577.9766791716766</v>
      </c>
      <c r="G21" s="78">
        <v>4512.4494182257604</v>
      </c>
      <c r="H21" s="78">
        <v>4134.1639637263588</v>
      </c>
      <c r="I21" s="78">
        <v>4348.0747073488437</v>
      </c>
      <c r="L21"/>
    </row>
    <row r="22" spans="1:13" x14ac:dyDescent="0.2">
      <c r="A22" s="83" t="s">
        <v>7</v>
      </c>
      <c r="B22" s="78">
        <v>12448.185433996892</v>
      </c>
      <c r="C22" s="78">
        <v>13060.862928462986</v>
      </c>
      <c r="D22" s="78">
        <v>14935.089962340871</v>
      </c>
      <c r="E22" s="78">
        <v>15592.127949148409</v>
      </c>
      <c r="F22" s="78">
        <v>16063.21486380743</v>
      </c>
      <c r="G22" s="78">
        <v>15412.09994658076</v>
      </c>
      <c r="H22" s="78">
        <v>15527.066973209587</v>
      </c>
      <c r="I22" s="78">
        <v>16885.610354404143</v>
      </c>
      <c r="L22"/>
    </row>
    <row r="23" spans="1:13" x14ac:dyDescent="0.2">
      <c r="A23" s="83" t="s">
        <v>8</v>
      </c>
      <c r="B23" s="79">
        <v>0</v>
      </c>
      <c r="C23" s="79">
        <v>0</v>
      </c>
      <c r="D23" s="79">
        <v>0</v>
      </c>
      <c r="E23" s="79">
        <v>0</v>
      </c>
      <c r="F23" s="79">
        <v>0</v>
      </c>
      <c r="G23" s="79">
        <v>0</v>
      </c>
      <c r="H23" s="79">
        <v>0</v>
      </c>
      <c r="I23" s="79">
        <v>0</v>
      </c>
      <c r="L23"/>
    </row>
    <row r="24" spans="1:13" ht="13.5" thickBot="1" x14ac:dyDescent="0.25">
      <c r="A24" s="6"/>
      <c r="B24" s="64"/>
      <c r="C24" s="64"/>
      <c r="D24" s="64"/>
      <c r="E24" s="64"/>
      <c r="F24" s="64"/>
      <c r="G24" s="64"/>
      <c r="H24" s="64"/>
      <c r="I24" s="64"/>
      <c r="L24"/>
    </row>
    <row r="25" spans="1:13" x14ac:dyDescent="0.2">
      <c r="A25" s="82" t="s">
        <v>9</v>
      </c>
      <c r="B25" s="65">
        <v>4244457.1326800492</v>
      </c>
      <c r="C25" s="65">
        <v>4296343.286516143</v>
      </c>
      <c r="D25" s="65">
        <v>4229772.8869834095</v>
      </c>
      <c r="E25" s="65">
        <v>4175813.5207194891</v>
      </c>
      <c r="F25" s="65">
        <v>4265793.6356521361</v>
      </c>
      <c r="G25" s="65">
        <v>4404659.2874011612</v>
      </c>
      <c r="H25" s="65">
        <v>4358210.2939655771</v>
      </c>
      <c r="I25" s="65">
        <v>4425764.6972570429</v>
      </c>
      <c r="L25"/>
    </row>
    <row r="26" spans="1:13" x14ac:dyDescent="0.2">
      <c r="A26" s="20"/>
      <c r="B26" s="75"/>
      <c r="C26" s="75"/>
      <c r="D26" s="75"/>
      <c r="E26" s="75"/>
      <c r="F26" s="75"/>
      <c r="G26" s="75"/>
      <c r="H26" s="75"/>
      <c r="I26" s="75"/>
    </row>
    <row r="27" spans="1:13" s="76" customFormat="1" ht="57.75" customHeight="1" x14ac:dyDescent="0.2">
      <c r="A27" s="96" t="s">
        <v>28</v>
      </c>
      <c r="B27" s="96"/>
      <c r="C27" s="96"/>
      <c r="D27" s="96"/>
      <c r="E27" s="96"/>
      <c r="F27" s="96"/>
      <c r="G27" s="96"/>
      <c r="H27" s="96"/>
      <c r="I27" s="96"/>
      <c r="J27" s="85"/>
      <c r="K27" s="85"/>
      <c r="L27" s="85"/>
      <c r="M27" s="85"/>
    </row>
    <row r="28" spans="1:13" ht="12.75" customHeight="1" x14ac:dyDescent="0.2">
      <c r="A28" s="99" t="s">
        <v>33</v>
      </c>
      <c r="B28" s="99"/>
      <c r="C28" s="99"/>
      <c r="D28" s="86"/>
    </row>
    <row r="29" spans="1:13" ht="12.75" customHeight="1" x14ac:dyDescent="0.2">
      <c r="A29" s="95"/>
      <c r="B29" s="95"/>
    </row>
    <row r="30" spans="1:13" x14ac:dyDescent="0.2">
      <c r="A30" s="84"/>
    </row>
    <row r="31" spans="1:13" x14ac:dyDescent="0.2">
      <c r="A31" s="84"/>
    </row>
    <row r="32" spans="1:13" x14ac:dyDescent="0.2">
      <c r="A32" s="84"/>
    </row>
    <row r="33" spans="1:1" x14ac:dyDescent="0.2">
      <c r="A33" s="84"/>
    </row>
  </sheetData>
  <mergeCells count="4">
    <mergeCell ref="A29:B29"/>
    <mergeCell ref="A28:C28"/>
    <mergeCell ref="A27:I27"/>
    <mergeCell ref="G1:L5"/>
  </mergeCells>
  <pageMargins left="0.78740157499999996" right="0.78740157499999996" top="0.984251969" bottom="0.984251969" header="0.49212598499999999" footer="0.49212598499999999"/>
  <pageSetup paperSize="9"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21</vt:i4>
      </vt:variant>
      <vt:variant>
        <vt:lpstr>Intervalos Nomeados</vt:lpstr>
      </vt:variant>
      <vt:variant>
        <vt:i4>15</vt:i4>
      </vt:variant>
    </vt:vector>
  </HeadingPairs>
  <TitlesOfParts>
    <vt:vector size="36" baseType="lpstr">
      <vt:lpstr>1995-2000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'2009'!Area_de_impressao</vt:lpstr>
      <vt:lpstr>'2010'!Area_de_impressao</vt:lpstr>
      <vt:lpstr>'2011'!Area_de_impressao</vt:lpstr>
      <vt:lpstr>'2012'!Area_de_impressao</vt:lpstr>
      <vt:lpstr>'2013'!Area_de_impressao</vt:lpstr>
      <vt:lpstr>'2014'!Area_de_impressao</vt:lpstr>
      <vt:lpstr>'2015'!Area_de_impressao</vt:lpstr>
      <vt:lpstr>'2016'!Area_de_impressao</vt:lpstr>
      <vt:lpstr>'2017'!Area_de_impressao</vt:lpstr>
      <vt:lpstr>'2018'!Area_de_impressao</vt:lpstr>
      <vt:lpstr>'2019'!Area_de_impressao</vt:lpstr>
      <vt:lpstr>'2020'!Area_de_impressao</vt:lpstr>
      <vt:lpstr>'2001'!TABLE</vt:lpstr>
      <vt:lpstr>'2001'!Titulos_de_impressao</vt:lpstr>
      <vt:lpstr>'2002'!Titulos_de_impressao</vt:lpstr>
    </vt:vector>
  </TitlesOfParts>
  <Company>Rede Corporativa do Ministério da Fazenda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internet 2001</dc:title>
  <dc:creator>STN</dc:creator>
  <cp:lastModifiedBy>STN</cp:lastModifiedBy>
  <cp:lastPrinted>2009-09-22T13:51:23Z</cp:lastPrinted>
  <dcterms:created xsi:type="dcterms:W3CDTF">2001-06-25T13:14:32Z</dcterms:created>
  <dcterms:modified xsi:type="dcterms:W3CDTF">2021-01-11T20:21:52Z</dcterms:modified>
</cp:coreProperties>
</file>