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/>
  <mc:AlternateContent xmlns:mc="http://schemas.openxmlformats.org/markup-compatibility/2006">
    <mc:Choice Requires="x15">
      <x15ac:absPath xmlns:x15ac="http://schemas.microsoft.com/office/spreadsheetml/2010/11/ac" url="L:\CESEF\NÚCLEO\ESTUDOS\Gasto social\Dados Publicados\"/>
    </mc:Choice>
  </mc:AlternateContent>
  <xr:revisionPtr revIDLastSave="0" documentId="8_{D6CF1813-369B-4416-83FA-954A68B4883F}" xr6:coauthVersionLast="47" xr6:coauthVersionMax="47" xr10:uidLastSave="{00000000-0000-0000-0000-000000000000}"/>
  <bookViews>
    <workbookView xWindow="-120" yWindow="-120" windowWidth="29040" windowHeight="15720" tabRatio="713" xr2:uid="{00000000-000D-0000-FFFF-FFFF00000000}"/>
  </bookViews>
  <sheets>
    <sheet name="Portal Siga Brasil" sheetId="44" r:id="rId1"/>
    <sheet name="RGPS_Resumo" sheetId="17" r:id="rId2"/>
    <sheet name="Beps 2014" sheetId="28" state="hidden" r:id="rId3"/>
    <sheet name="Beps 2015" sheetId="20" state="hidden" r:id="rId4"/>
    <sheet name="RGPS_Valor_Dezembro" sheetId="24" r:id="rId5"/>
    <sheet name="RGPS_Valor_Dezembro_Cálculo" sheetId="26" r:id="rId6"/>
    <sheet name="RGPS_Valor Acumulado" sheetId="31" r:id="rId7"/>
    <sheet name="RGPS_Quantidade_Dezembro" sheetId="25" r:id="rId8"/>
    <sheet name="RGPS_Quantidade_Dezembro_Cálc" sheetId="27" r:id="rId9"/>
    <sheet name="RPPS_Resumo" sheetId="32" r:id="rId10"/>
    <sheet name="RPPS_Despesa Anual" sheetId="33" r:id="rId11"/>
    <sheet name="RPPS_Faixa de Remuneração" sheetId="34" r:id="rId12"/>
    <sheet name="RPPS_Quantidade Servidores" sheetId="35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2" i="32" l="1"/>
  <c r="C23" i="32"/>
  <c r="C24" i="32"/>
  <c r="C25" i="32"/>
  <c r="C26" i="32"/>
  <c r="C27" i="32"/>
  <c r="C28" i="32"/>
  <c r="G52" i="32" l="1"/>
  <c r="O52" i="32"/>
  <c r="N52" i="32"/>
  <c r="M52" i="32"/>
  <c r="L52" i="32"/>
  <c r="K52" i="32"/>
  <c r="J52" i="32"/>
  <c r="I52" i="32"/>
  <c r="H52" i="32"/>
  <c r="O37" i="32"/>
  <c r="N37" i="32"/>
  <c r="M37" i="32"/>
  <c r="L37" i="32"/>
  <c r="K37" i="32"/>
  <c r="J37" i="32"/>
  <c r="I37" i="32"/>
  <c r="H37" i="32"/>
  <c r="G37" i="32"/>
  <c r="F37" i="32"/>
  <c r="E37" i="32"/>
  <c r="D37" i="32"/>
  <c r="C37" i="32"/>
  <c r="O34" i="32"/>
  <c r="N34" i="32"/>
  <c r="M34" i="32"/>
  <c r="L34" i="32"/>
  <c r="K34" i="32"/>
  <c r="J34" i="32"/>
  <c r="I34" i="32"/>
  <c r="H34" i="32"/>
  <c r="G34" i="32"/>
  <c r="F34" i="32"/>
  <c r="E34" i="32"/>
  <c r="D34" i="32"/>
  <c r="C34" i="32"/>
  <c r="O46" i="32"/>
  <c r="N46" i="32"/>
  <c r="M46" i="32"/>
  <c r="L46" i="32"/>
  <c r="K46" i="32"/>
  <c r="J46" i="32"/>
  <c r="I46" i="32"/>
  <c r="H46" i="32"/>
  <c r="G46" i="32"/>
  <c r="F46" i="32"/>
  <c r="E46" i="32"/>
  <c r="D46" i="32"/>
  <c r="C46" i="32"/>
  <c r="O49" i="32"/>
  <c r="N49" i="32"/>
  <c r="M49" i="32"/>
  <c r="L49" i="32"/>
  <c r="K49" i="32"/>
  <c r="J49" i="32"/>
  <c r="I49" i="32"/>
  <c r="H49" i="32"/>
  <c r="G49" i="32"/>
  <c r="F49" i="32"/>
  <c r="E49" i="32"/>
  <c r="D49" i="32"/>
  <c r="C49" i="32"/>
  <c r="O43" i="32"/>
  <c r="N43" i="32"/>
  <c r="M43" i="32"/>
  <c r="L43" i="32"/>
  <c r="K43" i="32"/>
  <c r="J43" i="32"/>
  <c r="I43" i="32"/>
  <c r="H43" i="32"/>
  <c r="G43" i="32"/>
  <c r="F43" i="32"/>
  <c r="E43" i="32"/>
  <c r="D43" i="32"/>
  <c r="C43" i="32"/>
  <c r="O40" i="32"/>
  <c r="N40" i="32"/>
  <c r="M40" i="32"/>
  <c r="L40" i="32"/>
  <c r="K40" i="32"/>
  <c r="J40" i="32"/>
  <c r="I40" i="32"/>
  <c r="H40" i="32"/>
  <c r="G40" i="32"/>
  <c r="F40" i="32"/>
  <c r="E40" i="32"/>
  <c r="D40" i="32"/>
  <c r="C40" i="32"/>
  <c r="P28" i="32"/>
  <c r="O28" i="32"/>
  <c r="N28" i="32"/>
  <c r="M28" i="32"/>
  <c r="L28" i="32"/>
  <c r="K28" i="32"/>
  <c r="J28" i="32"/>
  <c r="I28" i="32"/>
  <c r="H28" i="32"/>
  <c r="H53" i="32" s="1"/>
  <c r="H85" i="32" s="1"/>
  <c r="G28" i="32"/>
  <c r="F28" i="32"/>
  <c r="E28" i="32"/>
  <c r="O27" i="32"/>
  <c r="N27" i="32"/>
  <c r="M27" i="32"/>
  <c r="L27" i="32"/>
  <c r="L50" i="32" s="1"/>
  <c r="K27" i="32"/>
  <c r="J27" i="32"/>
  <c r="I27" i="32"/>
  <c r="H27" i="32"/>
  <c r="H50" i="32" s="1"/>
  <c r="G27" i="32"/>
  <c r="F27" i="32"/>
  <c r="E27" i="32"/>
  <c r="P26" i="32"/>
  <c r="O26" i="32"/>
  <c r="N26" i="32"/>
  <c r="M26" i="32"/>
  <c r="L26" i="32"/>
  <c r="L47" i="32" s="1"/>
  <c r="K26" i="32"/>
  <c r="J26" i="32"/>
  <c r="I26" i="32"/>
  <c r="H26" i="32"/>
  <c r="H47" i="32" s="1"/>
  <c r="G26" i="32"/>
  <c r="F26" i="32"/>
  <c r="E26" i="32"/>
  <c r="P25" i="32"/>
  <c r="O25" i="32"/>
  <c r="N25" i="32"/>
  <c r="M25" i="32"/>
  <c r="L25" i="32"/>
  <c r="L44" i="32" s="1"/>
  <c r="K25" i="32"/>
  <c r="J25" i="32"/>
  <c r="I25" i="32"/>
  <c r="H25" i="32"/>
  <c r="H44" i="32" s="1"/>
  <c r="G25" i="32"/>
  <c r="F25" i="32"/>
  <c r="E25" i="32"/>
  <c r="P24" i="32"/>
  <c r="O24" i="32"/>
  <c r="N24" i="32"/>
  <c r="M24" i="32"/>
  <c r="L24" i="32"/>
  <c r="L41" i="32" s="1"/>
  <c r="K24" i="32"/>
  <c r="J24" i="32"/>
  <c r="I24" i="32"/>
  <c r="H24" i="32"/>
  <c r="H41" i="32" s="1"/>
  <c r="G24" i="32"/>
  <c r="F24" i="32"/>
  <c r="E24" i="32"/>
  <c r="O23" i="32"/>
  <c r="N23" i="32"/>
  <c r="M23" i="32"/>
  <c r="L23" i="32"/>
  <c r="L38" i="32" s="1"/>
  <c r="K23" i="32"/>
  <c r="J23" i="32"/>
  <c r="I23" i="32"/>
  <c r="H23" i="32"/>
  <c r="H38" i="32" s="1"/>
  <c r="G23" i="32"/>
  <c r="F23" i="32"/>
  <c r="E23" i="32"/>
  <c r="D28" i="32"/>
  <c r="D26" i="32"/>
  <c r="D25" i="32"/>
  <c r="D27" i="32"/>
  <c r="D24" i="32"/>
  <c r="D41" i="32" s="1"/>
  <c r="D23" i="32"/>
  <c r="O22" i="32"/>
  <c r="N22" i="32"/>
  <c r="N35" i="32" s="1"/>
  <c r="M22" i="32"/>
  <c r="L22" i="32"/>
  <c r="K22" i="32"/>
  <c r="J22" i="32"/>
  <c r="J35" i="32" s="1"/>
  <c r="I22" i="32"/>
  <c r="H22" i="32"/>
  <c r="G22" i="32"/>
  <c r="F22" i="32"/>
  <c r="F35" i="32" s="1"/>
  <c r="E22" i="32"/>
  <c r="D22" i="32"/>
  <c r="AA58" i="35"/>
  <c r="AA50" i="35"/>
  <c r="AA46" i="35"/>
  <c r="AA42" i="35"/>
  <c r="AA33" i="35"/>
  <c r="AA29" i="35"/>
  <c r="AA25" i="35"/>
  <c r="AA21" i="35"/>
  <c r="AA17" i="35"/>
  <c r="AA11" i="35"/>
  <c r="AA10" i="35"/>
  <c r="AA5" i="35" s="1"/>
  <c r="AA52" i="35" s="1"/>
  <c r="P27" i="32" s="1"/>
  <c r="AA9" i="35"/>
  <c r="AA12" i="35" s="1"/>
  <c r="AA6" i="35"/>
  <c r="AA53" i="35" s="1"/>
  <c r="AA4" i="35"/>
  <c r="AA51" i="35" s="1"/>
  <c r="P22" i="32" l="1"/>
  <c r="P23" i="32"/>
  <c r="D47" i="32"/>
  <c r="D35" i="32"/>
  <c r="H35" i="32"/>
  <c r="H67" i="32" s="1"/>
  <c r="L35" i="32"/>
  <c r="L67" i="32" s="1"/>
  <c r="D44" i="32"/>
  <c r="D76" i="32" s="1"/>
  <c r="F38" i="32"/>
  <c r="J38" i="32"/>
  <c r="N38" i="32"/>
  <c r="F41" i="32"/>
  <c r="F42" i="32" s="1"/>
  <c r="J41" i="32"/>
  <c r="N41" i="32"/>
  <c r="F44" i="32"/>
  <c r="F45" i="32" s="1"/>
  <c r="J44" i="32"/>
  <c r="N44" i="32"/>
  <c r="F47" i="32"/>
  <c r="F79" i="32" s="1"/>
  <c r="J47" i="32"/>
  <c r="J79" i="32" s="1"/>
  <c r="N47" i="32"/>
  <c r="N79" i="32" s="1"/>
  <c r="F50" i="32"/>
  <c r="F82" i="32" s="1"/>
  <c r="J50" i="32"/>
  <c r="N50" i="32"/>
  <c r="N82" i="32" s="1"/>
  <c r="N67" i="32"/>
  <c r="L70" i="32"/>
  <c r="F67" i="32"/>
  <c r="L79" i="32"/>
  <c r="H82" i="32"/>
  <c r="D67" i="32"/>
  <c r="J82" i="32"/>
  <c r="J67" i="32"/>
  <c r="H70" i="32"/>
  <c r="H79" i="32"/>
  <c r="L82" i="32"/>
  <c r="L76" i="32"/>
  <c r="H76" i="32"/>
  <c r="N76" i="32"/>
  <c r="F70" i="32"/>
  <c r="J73" i="32"/>
  <c r="J76" i="32"/>
  <c r="D79" i="32"/>
  <c r="N53" i="32"/>
  <c r="C35" i="32"/>
  <c r="E35" i="32"/>
  <c r="I35" i="32"/>
  <c r="I36" i="32" s="1"/>
  <c r="M35" i="32"/>
  <c r="M36" i="32" s="1"/>
  <c r="D38" i="32"/>
  <c r="C38" i="32"/>
  <c r="G38" i="32"/>
  <c r="G39" i="32" s="1"/>
  <c r="K38" i="32"/>
  <c r="O38" i="32"/>
  <c r="G41" i="32"/>
  <c r="K41" i="32"/>
  <c r="O41" i="32"/>
  <c r="G44" i="32"/>
  <c r="K44" i="32"/>
  <c r="O44" i="32"/>
  <c r="G47" i="32"/>
  <c r="K47" i="32"/>
  <c r="O47" i="32"/>
  <c r="G50" i="32"/>
  <c r="G51" i="32" s="1"/>
  <c r="K50" i="32"/>
  <c r="O50" i="32"/>
  <c r="O59" i="32" s="1"/>
  <c r="G53" i="32"/>
  <c r="G85" i="32" s="1"/>
  <c r="K53" i="32"/>
  <c r="K85" i="32" s="1"/>
  <c r="O53" i="32"/>
  <c r="O85" i="32" s="1"/>
  <c r="C47" i="32"/>
  <c r="J53" i="32"/>
  <c r="D73" i="32"/>
  <c r="H73" i="32"/>
  <c r="L73" i="32"/>
  <c r="L53" i="32"/>
  <c r="L85" i="32" s="1"/>
  <c r="O54" i="32"/>
  <c r="C44" i="32"/>
  <c r="G35" i="32"/>
  <c r="K35" i="32"/>
  <c r="K36" i="32" s="1"/>
  <c r="O35" i="32"/>
  <c r="C50" i="32"/>
  <c r="D50" i="32"/>
  <c r="E38" i="32"/>
  <c r="E39" i="32" s="1"/>
  <c r="I38" i="32"/>
  <c r="M38" i="32"/>
  <c r="E41" i="32"/>
  <c r="I41" i="32"/>
  <c r="M41" i="32"/>
  <c r="E44" i="32"/>
  <c r="I44" i="32"/>
  <c r="M44" i="32"/>
  <c r="M45" i="32" s="1"/>
  <c r="E47" i="32"/>
  <c r="E48" i="32" s="1"/>
  <c r="I47" i="32"/>
  <c r="M47" i="32"/>
  <c r="E50" i="32"/>
  <c r="E59" i="32" s="1"/>
  <c r="I50" i="32"/>
  <c r="I59" i="32" s="1"/>
  <c r="M50" i="32"/>
  <c r="H54" i="32"/>
  <c r="I53" i="32"/>
  <c r="I85" i="32" s="1"/>
  <c r="M53" i="32"/>
  <c r="M85" i="32" s="1"/>
  <c r="C41" i="32"/>
  <c r="H48" i="32"/>
  <c r="D48" i="32"/>
  <c r="L48" i="32"/>
  <c r="K42" i="32"/>
  <c r="O42" i="32"/>
  <c r="G48" i="32"/>
  <c r="F36" i="32"/>
  <c r="K51" i="32"/>
  <c r="I42" i="32"/>
  <c r="J36" i="32"/>
  <c r="N36" i="32"/>
  <c r="I39" i="32"/>
  <c r="C48" i="32"/>
  <c r="H36" i="32"/>
  <c r="D36" i="32"/>
  <c r="H39" i="32"/>
  <c r="L39" i="32"/>
  <c r="D42" i="32"/>
  <c r="H42" i="32"/>
  <c r="L42" i="32"/>
  <c r="H45" i="32"/>
  <c r="L45" i="32"/>
  <c r="F51" i="32"/>
  <c r="F59" i="32"/>
  <c r="J51" i="32"/>
  <c r="H51" i="32"/>
  <c r="H59" i="32"/>
  <c r="L51" i="32"/>
  <c r="L59" i="32"/>
  <c r="O45" i="32"/>
  <c r="G59" i="32"/>
  <c r="K59" i="32"/>
  <c r="K39" i="32"/>
  <c r="AA54" i="35"/>
  <c r="AA7" i="35"/>
  <c r="K54" i="32" l="1"/>
  <c r="E51" i="32"/>
  <c r="L54" i="32"/>
  <c r="L36" i="32"/>
  <c r="M42" i="32"/>
  <c r="N59" i="32"/>
  <c r="J48" i="32"/>
  <c r="N39" i="32"/>
  <c r="F76" i="32"/>
  <c r="D59" i="32"/>
  <c r="D61" i="32" s="1"/>
  <c r="N51" i="32"/>
  <c r="N42" i="32"/>
  <c r="F48" i="32"/>
  <c r="J39" i="32"/>
  <c r="C36" i="32"/>
  <c r="N73" i="32"/>
  <c r="M59" i="32"/>
  <c r="J59" i="32"/>
  <c r="J42" i="32"/>
  <c r="M39" i="32"/>
  <c r="N45" i="32"/>
  <c r="F39" i="32"/>
  <c r="N70" i="32"/>
  <c r="J70" i="32"/>
  <c r="D51" i="32"/>
  <c r="N48" i="32"/>
  <c r="J45" i="32"/>
  <c r="G36" i="32"/>
  <c r="D45" i="32"/>
  <c r="O48" i="32"/>
  <c r="C42" i="32"/>
  <c r="M48" i="32"/>
  <c r="I45" i="32"/>
  <c r="E42" i="32"/>
  <c r="F73" i="32"/>
  <c r="I51" i="32"/>
  <c r="O36" i="32"/>
  <c r="G45" i="32"/>
  <c r="D39" i="32"/>
  <c r="O39" i="32"/>
  <c r="O51" i="32"/>
  <c r="K48" i="32"/>
  <c r="I54" i="32"/>
  <c r="E79" i="32"/>
  <c r="K79" i="32"/>
  <c r="C67" i="32"/>
  <c r="M76" i="32"/>
  <c r="E70" i="32"/>
  <c r="K67" i="32"/>
  <c r="K82" i="32"/>
  <c r="G79" i="32"/>
  <c r="O73" i="32"/>
  <c r="K70" i="32"/>
  <c r="M67" i="32"/>
  <c r="I82" i="32"/>
  <c r="I70" i="32"/>
  <c r="C79" i="32"/>
  <c r="G76" i="32"/>
  <c r="D70" i="32"/>
  <c r="E82" i="32"/>
  <c r="I73" i="32"/>
  <c r="C73" i="32"/>
  <c r="M79" i="32"/>
  <c r="I76" i="32"/>
  <c r="E73" i="32"/>
  <c r="D82" i="32"/>
  <c r="G67" i="32"/>
  <c r="G82" i="32"/>
  <c r="O76" i="32"/>
  <c r="K73" i="32"/>
  <c r="G70" i="32"/>
  <c r="I67" i="32"/>
  <c r="M73" i="32"/>
  <c r="O67" i="32"/>
  <c r="O82" i="32"/>
  <c r="O70" i="32"/>
  <c r="M82" i="32"/>
  <c r="I79" i="32"/>
  <c r="E76" i="32"/>
  <c r="M70" i="32"/>
  <c r="C82" i="32"/>
  <c r="C76" i="32"/>
  <c r="O79" i="32"/>
  <c r="K76" i="32"/>
  <c r="G73" i="32"/>
  <c r="C70" i="32"/>
  <c r="E67" i="32"/>
  <c r="E36" i="32"/>
  <c r="G42" i="32"/>
  <c r="C45" i="32"/>
  <c r="K45" i="32"/>
  <c r="C59" i="32"/>
  <c r="N85" i="32"/>
  <c r="N54" i="32"/>
  <c r="M51" i="32"/>
  <c r="C51" i="32"/>
  <c r="C39" i="32"/>
  <c r="E45" i="32"/>
  <c r="G54" i="32"/>
  <c r="I48" i="32"/>
  <c r="J85" i="32"/>
  <c r="J54" i="32"/>
  <c r="M54" i="32"/>
  <c r="M61" i="32"/>
  <c r="G61" i="32"/>
  <c r="L61" i="32"/>
  <c r="H61" i="32"/>
  <c r="I61" i="32"/>
  <c r="J61" i="32"/>
  <c r="E61" i="32"/>
  <c r="K61" i="32"/>
  <c r="F61" i="32"/>
  <c r="O61" i="32"/>
  <c r="C61" i="32" l="1"/>
  <c r="N61" i="32"/>
  <c r="G12" i="32"/>
  <c r="G16" i="32"/>
  <c r="G14" i="32"/>
  <c r="G10" i="32"/>
  <c r="G8" i="32"/>
  <c r="G6" i="32"/>
  <c r="G4" i="32"/>
  <c r="D16" i="32"/>
  <c r="D14" i="32"/>
  <c r="D12" i="32"/>
  <c r="D10" i="32"/>
  <c r="D8" i="32"/>
  <c r="D6" i="32"/>
  <c r="D4" i="32"/>
  <c r="F16" i="32"/>
  <c r="F12" i="32"/>
  <c r="F10" i="32"/>
  <c r="F8" i="32"/>
  <c r="F6" i="32"/>
  <c r="C8" i="32"/>
  <c r="F4" i="32"/>
  <c r="C16" i="32"/>
  <c r="C14" i="32"/>
  <c r="C12" i="32"/>
  <c r="C10" i="32"/>
  <c r="C4" i="32"/>
  <c r="C6" i="32"/>
  <c r="D9" i="32" l="1"/>
  <c r="D17" i="32"/>
  <c r="G11" i="32"/>
  <c r="D11" i="32"/>
  <c r="G5" i="32"/>
  <c r="G15" i="32"/>
  <c r="D5" i="32"/>
  <c r="D13" i="32"/>
  <c r="G7" i="32"/>
  <c r="G17" i="32"/>
  <c r="D7" i="32"/>
  <c r="D15" i="32"/>
  <c r="G9" i="32"/>
  <c r="G13" i="32"/>
  <c r="U7" i="20" l="1"/>
  <c r="U5" i="20"/>
  <c r="U4" i="20"/>
  <c r="T8" i="20"/>
  <c r="T9" i="20" s="1"/>
  <c r="U9" i="20" s="1"/>
  <c r="T7" i="20"/>
  <c r="T5" i="20"/>
  <c r="T4" i="20"/>
  <c r="T6" i="20"/>
  <c r="U6" i="20" s="1"/>
  <c r="T3" i="20"/>
  <c r="U3" i="20" s="1"/>
  <c r="P8" i="20"/>
  <c r="P7" i="20"/>
  <c r="P6" i="20"/>
  <c r="P5" i="20"/>
  <c r="P4" i="20"/>
  <c r="P3" i="20"/>
  <c r="U8" i="20" l="1"/>
  <c r="AO13" i="31"/>
  <c r="AN19" i="31"/>
  <c r="AN16" i="31"/>
  <c r="AP16" i="31"/>
  <c r="AO16" i="31"/>
  <c r="AN13" i="31"/>
  <c r="AP10" i="31"/>
  <c r="AN7" i="31"/>
  <c r="AP7" i="31"/>
  <c r="AP22" i="31"/>
  <c r="AJ4" i="31"/>
  <c r="AE4" i="31"/>
  <c r="AO22" i="31"/>
  <c r="AI22" i="31"/>
  <c r="AI7" i="31"/>
  <c r="AH25" i="31"/>
  <c r="AK22" i="31"/>
  <c r="AJ22" i="31"/>
  <c r="AG22" i="31"/>
  <c r="AM19" i="31"/>
  <c r="AL19" i="31"/>
  <c r="AI19" i="31"/>
  <c r="AH19" i="31"/>
  <c r="AE19" i="31"/>
  <c r="AM16" i="31"/>
  <c r="AL16" i="31"/>
  <c r="AI16" i="31"/>
  <c r="AH16" i="31"/>
  <c r="AE16" i="31"/>
  <c r="AM13" i="31"/>
  <c r="AL13" i="31"/>
  <c r="AK13" i="31"/>
  <c r="AI13" i="31"/>
  <c r="AH13" i="31"/>
  <c r="AE13" i="31"/>
  <c r="AK10" i="31"/>
  <c r="AJ10" i="31"/>
  <c r="AG10" i="31"/>
  <c r="AF10" i="31"/>
  <c r="AM7" i="31"/>
  <c r="AL7" i="31"/>
  <c r="AJ7" i="31"/>
  <c r="AH7" i="31"/>
  <c r="AF7" i="31"/>
  <c r="AE7" i="31"/>
  <c r="AD16" i="31"/>
  <c r="AD13" i="31"/>
  <c r="AC64" i="26"/>
  <c r="P64" i="26"/>
  <c r="AC62" i="26"/>
  <c r="P62" i="26"/>
  <c r="AC60" i="26"/>
  <c r="P60" i="26"/>
  <c r="AC58" i="26"/>
  <c r="P58" i="26"/>
  <c r="AC56" i="26"/>
  <c r="P56" i="26"/>
  <c r="AC54" i="26"/>
  <c r="P54" i="26"/>
  <c r="AC52" i="26"/>
  <c r="P52" i="26"/>
  <c r="AF4" i="31" l="1"/>
  <c r="AD7" i="31"/>
  <c r="AM10" i="31"/>
  <c r="AG7" i="31"/>
  <c r="AK7" i="31"/>
  <c r="AI25" i="31"/>
  <c r="AO4" i="31"/>
  <c r="AO10" i="31"/>
  <c r="AG19" i="31"/>
  <c r="AK19" i="31"/>
  <c r="AP13" i="31"/>
  <c r="AP19" i="31"/>
  <c r="AG13" i="31"/>
  <c r="AE10" i="31"/>
  <c r="AI10" i="31"/>
  <c r="AG16" i="31"/>
  <c r="AE22" i="31"/>
  <c r="AM22" i="31"/>
  <c r="AI4" i="31"/>
  <c r="AM4" i="31"/>
  <c r="AG4" i="31"/>
  <c r="AK4" i="31"/>
  <c r="AF19" i="31"/>
  <c r="AJ19" i="31"/>
  <c r="AN10" i="31"/>
  <c r="AO25" i="31"/>
  <c r="AD4" i="31"/>
  <c r="AH4" i="31"/>
  <c r="AL4" i="31"/>
  <c r="AO7" i="31"/>
  <c r="AF22" i="31"/>
  <c r="AN22" i="31"/>
  <c r="AP25" i="31"/>
  <c r="AD25" i="31"/>
  <c r="AL25" i="31"/>
  <c r="AF25" i="31"/>
  <c r="AJ25" i="31"/>
  <c r="AE25" i="31"/>
  <c r="AM25" i="31"/>
  <c r="AG25" i="31"/>
  <c r="AK25" i="31"/>
  <c r="AN4" i="31"/>
  <c r="AO19" i="31"/>
  <c r="AF13" i="31"/>
  <c r="AJ16" i="31"/>
  <c r="AF16" i="31"/>
  <c r="AK16" i="31"/>
  <c r="AD19" i="31"/>
  <c r="AP4" i="31"/>
  <c r="AN25" i="31"/>
  <c r="AD10" i="31"/>
  <c r="AH10" i="31"/>
  <c r="AL10" i="31"/>
  <c r="AD22" i="31"/>
  <c r="AH22" i="31"/>
  <c r="AL22" i="31"/>
  <c r="AJ13" i="31"/>
  <c r="P46" i="17"/>
  <c r="P42" i="17"/>
  <c r="AP5" i="27"/>
  <c r="P20" i="17" l="1"/>
  <c r="P44" i="17"/>
  <c r="P48" i="17"/>
  <c r="P24" i="17"/>
  <c r="P28" i="17"/>
  <c r="P54" i="17"/>
  <c r="P9" i="27"/>
  <c r="P55" i="26" s="1"/>
  <c r="A4" i="27"/>
  <c r="AC22" i="27"/>
  <c r="P22" i="17"/>
  <c r="P26" i="17"/>
  <c r="P30" i="17"/>
  <c r="P34" i="17"/>
  <c r="P50" i="17"/>
  <c r="AC12" i="27"/>
  <c r="AC57" i="26" s="1"/>
  <c r="P22" i="27"/>
  <c r="AC23" i="27"/>
  <c r="P23" i="27"/>
  <c r="P19" i="17"/>
  <c r="P21" i="17"/>
  <c r="P23" i="17"/>
  <c r="P25" i="17"/>
  <c r="P27" i="17"/>
  <c r="P29" i="17"/>
  <c r="P33" i="17"/>
  <c r="P39" i="17"/>
  <c r="P40" i="17"/>
  <c r="P41" i="17"/>
  <c r="P43" i="17"/>
  <c r="P45" i="17"/>
  <c r="P47" i="17"/>
  <c r="P49" i="17"/>
  <c r="P53" i="17"/>
  <c r="AP14" i="27"/>
  <c r="AC9" i="27"/>
  <c r="AC55" i="26" s="1"/>
  <c r="AP4" i="27"/>
  <c r="AP25" i="27"/>
  <c r="AC18" i="27"/>
  <c r="AC61" i="26" s="1"/>
  <c r="AP16" i="27"/>
  <c r="AC21" i="27"/>
  <c r="AC63" i="26" s="1"/>
  <c r="P12" i="27"/>
  <c r="AP19" i="27"/>
  <c r="AP17" i="27"/>
  <c r="P18" i="27"/>
  <c r="P61" i="26" s="1"/>
  <c r="P21" i="27"/>
  <c r="P63" i="26" s="1"/>
  <c r="AP13" i="27"/>
  <c r="P15" i="27"/>
  <c r="P59" i="26" s="1"/>
  <c r="AC15" i="27"/>
  <c r="AC59" i="26" s="1"/>
  <c r="AC6" i="27"/>
  <c r="AC53" i="26" s="1"/>
  <c r="P6" i="27"/>
  <c r="P53" i="26" s="1"/>
  <c r="AP20" i="27"/>
  <c r="AP10" i="27"/>
  <c r="AP7" i="27"/>
  <c r="AP11" i="27"/>
  <c r="AP8" i="27"/>
  <c r="AP9" i="27" l="1"/>
  <c r="AP55" i="26" s="1"/>
  <c r="P32" i="17"/>
  <c r="P31" i="17"/>
  <c r="AP22" i="27"/>
  <c r="AC24" i="27"/>
  <c r="AC65" i="26" s="1"/>
  <c r="AP23" i="27"/>
  <c r="P52" i="17"/>
  <c r="P51" i="17"/>
  <c r="AP12" i="27"/>
  <c r="AP57" i="26" s="1"/>
  <c r="P57" i="26"/>
  <c r="P24" i="27"/>
  <c r="AP21" i="27"/>
  <c r="AP63" i="26" s="1"/>
  <c r="P27" i="27"/>
  <c r="P67" i="26" s="1"/>
  <c r="AP6" i="27"/>
  <c r="AP53" i="26" s="1"/>
  <c r="AP18" i="27"/>
  <c r="AP61" i="26" s="1"/>
  <c r="AC27" i="27"/>
  <c r="AC67" i="26" s="1"/>
  <c r="AP26" i="27"/>
  <c r="P4" i="17" s="1"/>
  <c r="AP15" i="27"/>
  <c r="AP59" i="26" s="1"/>
  <c r="AC17" i="20"/>
  <c r="AB17" i="20"/>
  <c r="R17" i="20" s="1"/>
  <c r="AA17" i="20"/>
  <c r="Z17" i="20"/>
  <c r="Y17" i="20"/>
  <c r="X17" i="20"/>
  <c r="W17" i="20"/>
  <c r="V17" i="20"/>
  <c r="U17" i="20"/>
  <c r="T17" i="20"/>
  <c r="S17" i="20"/>
  <c r="AC16" i="20"/>
  <c r="AB16" i="20"/>
  <c r="AA16" i="20"/>
  <c r="Z16" i="20"/>
  <c r="Y16" i="20"/>
  <c r="X16" i="20"/>
  <c r="W16" i="20"/>
  <c r="R16" i="20" s="1"/>
  <c r="V16" i="20"/>
  <c r="U16" i="20"/>
  <c r="T16" i="20"/>
  <c r="S16" i="20"/>
  <c r="AC14" i="20"/>
  <c r="AB14" i="20"/>
  <c r="AA14" i="20"/>
  <c r="Z14" i="20"/>
  <c r="Y14" i="20"/>
  <c r="X14" i="20"/>
  <c r="W14" i="20"/>
  <c r="V14" i="20"/>
  <c r="U14" i="20"/>
  <c r="T14" i="20"/>
  <c r="R14" i="20" s="1"/>
  <c r="AC13" i="20"/>
  <c r="AB13" i="20"/>
  <c r="R13" i="20" s="1"/>
  <c r="AA13" i="20"/>
  <c r="Z13" i="20"/>
  <c r="Y13" i="20"/>
  <c r="X13" i="20"/>
  <c r="W13" i="20"/>
  <c r="V13" i="20"/>
  <c r="U13" i="20"/>
  <c r="T13" i="20"/>
  <c r="S14" i="20"/>
  <c r="S13" i="20"/>
  <c r="E18" i="20" a="1"/>
  <c r="E18" i="20" s="1"/>
  <c r="E19" i="20" s="1"/>
  <c r="E28" i="20" a="1"/>
  <c r="E28" i="20" s="1"/>
  <c r="K28" i="20" l="1"/>
  <c r="H28" i="20"/>
  <c r="P18" i="20"/>
  <c r="S12" i="20"/>
  <c r="S15" i="20"/>
  <c r="G18" i="20"/>
  <c r="O18" i="20"/>
  <c r="P28" i="20"/>
  <c r="O28" i="20"/>
  <c r="G28" i="20"/>
  <c r="L18" i="20"/>
  <c r="K18" i="20"/>
  <c r="H18" i="20"/>
  <c r="L28" i="20"/>
  <c r="P65" i="26"/>
  <c r="AP24" i="27"/>
  <c r="AP65" i="26" s="1"/>
  <c r="AP27" i="27"/>
  <c r="N18" i="20"/>
  <c r="J18" i="20"/>
  <c r="F18" i="20"/>
  <c r="M18" i="20"/>
  <c r="I18" i="20"/>
  <c r="N28" i="20"/>
  <c r="J28" i="20"/>
  <c r="F28" i="20"/>
  <c r="P9" i="20" s="1"/>
  <c r="M28" i="20"/>
  <c r="I28" i="20"/>
  <c r="P45" i="27"/>
  <c r="P46" i="27" s="1"/>
  <c r="P43" i="27"/>
  <c r="P44" i="27" s="1"/>
  <c r="P41" i="27"/>
  <c r="P42" i="27" s="1"/>
  <c r="P39" i="27"/>
  <c r="P40" i="27" s="1"/>
  <c r="P37" i="27"/>
  <c r="P38" i="27" s="1"/>
  <c r="P35" i="27"/>
  <c r="P36" i="27" s="1"/>
  <c r="P33" i="27"/>
  <c r="P34" i="27" s="1"/>
  <c r="P31" i="27"/>
  <c r="P32" i="27" s="1"/>
  <c r="AP45" i="27"/>
  <c r="AP46" i="27" s="1"/>
  <c r="AP43" i="27"/>
  <c r="AP44" i="27" s="1"/>
  <c r="AP41" i="27"/>
  <c r="AP42" i="27" s="1"/>
  <c r="AP39" i="27"/>
  <c r="AP40" i="27" s="1"/>
  <c r="AP37" i="27"/>
  <c r="AP38" i="27" s="1"/>
  <c r="AP35" i="27"/>
  <c r="AP36" i="27" s="1"/>
  <c r="AP33" i="27"/>
  <c r="AP34" i="27" s="1"/>
  <c r="AP31" i="27"/>
  <c r="AP32" i="27" s="1"/>
  <c r="AC45" i="27"/>
  <c r="AC46" i="27" s="1"/>
  <c r="AC43" i="27"/>
  <c r="AC44" i="27" s="1"/>
  <c r="AC41" i="27"/>
  <c r="AC42" i="27" s="1"/>
  <c r="AC39" i="27"/>
  <c r="AC40" i="27" s="1"/>
  <c r="AC37" i="27"/>
  <c r="AC38" i="27" s="1"/>
  <c r="AC35" i="27"/>
  <c r="AC36" i="27" s="1"/>
  <c r="AC33" i="27"/>
  <c r="AC34" i="27" s="1"/>
  <c r="AC31" i="27"/>
  <c r="AC32" i="27" s="1"/>
  <c r="AO23" i="27"/>
  <c r="AN23" i="27"/>
  <c r="AM23" i="27"/>
  <c r="AL23" i="27"/>
  <c r="AK23" i="27"/>
  <c r="AJ23" i="27"/>
  <c r="AI23" i="27"/>
  <c r="AH23" i="27"/>
  <c r="AG23" i="27"/>
  <c r="AF23" i="27"/>
  <c r="AE23" i="27"/>
  <c r="AO22" i="27"/>
  <c r="AN22" i="27"/>
  <c r="AM22" i="27"/>
  <c r="AL22" i="27"/>
  <c r="AK22" i="27"/>
  <c r="AJ22" i="27"/>
  <c r="AI22" i="27"/>
  <c r="AH22" i="27"/>
  <c r="AG22" i="27"/>
  <c r="AF22" i="27"/>
  <c r="AF24" i="27" s="1"/>
  <c r="AF65" i="26" s="1"/>
  <c r="AE22" i="27"/>
  <c r="AO20" i="27"/>
  <c r="AN20" i="27"/>
  <c r="AM20" i="27"/>
  <c r="AL20" i="27"/>
  <c r="AK20" i="27"/>
  <c r="AJ20" i="27"/>
  <c r="AI20" i="27"/>
  <c r="AH20" i="27"/>
  <c r="AG20" i="27"/>
  <c r="AF20" i="27"/>
  <c r="AE20" i="27"/>
  <c r="AO19" i="27"/>
  <c r="AN19" i="27"/>
  <c r="AM19" i="27"/>
  <c r="AL19" i="27"/>
  <c r="AL21" i="27" s="1"/>
  <c r="AL63" i="26" s="1"/>
  <c r="AK19" i="27"/>
  <c r="AJ19" i="27"/>
  <c r="AJ21" i="27" s="1"/>
  <c r="AJ63" i="26" s="1"/>
  <c r="AI19" i="27"/>
  <c r="AI21" i="27" s="1"/>
  <c r="AI63" i="26" s="1"/>
  <c r="AH19" i="27"/>
  <c r="AH21" i="27" s="1"/>
  <c r="AH63" i="26" s="1"/>
  <c r="AG19" i="27"/>
  <c r="AF19" i="27"/>
  <c r="AE19" i="27"/>
  <c r="AO17" i="27"/>
  <c r="AN17" i="27"/>
  <c r="AM17" i="27"/>
  <c r="AL17" i="27"/>
  <c r="AK17" i="27"/>
  <c r="AJ17" i="27"/>
  <c r="AI17" i="27"/>
  <c r="AH17" i="27"/>
  <c r="AG17" i="27"/>
  <c r="AF17" i="27"/>
  <c r="AE17" i="27"/>
  <c r="AO16" i="27"/>
  <c r="AO18" i="27" s="1"/>
  <c r="AO61" i="26" s="1"/>
  <c r="AN16" i="27"/>
  <c r="AN18" i="27" s="1"/>
  <c r="AN61" i="26" s="1"/>
  <c r="AM16" i="27"/>
  <c r="AL16" i="27"/>
  <c r="AK16" i="27"/>
  <c r="AJ16" i="27"/>
  <c r="AI16" i="27"/>
  <c r="AH16" i="27"/>
  <c r="AG16" i="27"/>
  <c r="AF16" i="27"/>
  <c r="AE16" i="27"/>
  <c r="AO14" i="27"/>
  <c r="AN14" i="27"/>
  <c r="AM14" i="27"/>
  <c r="AL14" i="27"/>
  <c r="AK14" i="27"/>
  <c r="AJ14" i="27"/>
  <c r="AI14" i="27"/>
  <c r="AH14" i="27"/>
  <c r="AG14" i="27"/>
  <c r="AF14" i="27"/>
  <c r="AE14" i="27"/>
  <c r="AO13" i="27"/>
  <c r="AN13" i="27"/>
  <c r="AM13" i="27"/>
  <c r="AL13" i="27"/>
  <c r="AK13" i="27"/>
  <c r="AJ13" i="27"/>
  <c r="AI13" i="27"/>
  <c r="AH13" i="27"/>
  <c r="AH15" i="27" s="1"/>
  <c r="AH59" i="26" s="1"/>
  <c r="AG13" i="27"/>
  <c r="AF13" i="27"/>
  <c r="AF15" i="27" s="1"/>
  <c r="AF59" i="26" s="1"/>
  <c r="AE13" i="27"/>
  <c r="AE15" i="27" s="1"/>
  <c r="AE59" i="26" s="1"/>
  <c r="AO11" i="27"/>
  <c r="AN11" i="27"/>
  <c r="AM11" i="27"/>
  <c r="AL11" i="27"/>
  <c r="AK11" i="27"/>
  <c r="AJ11" i="27"/>
  <c r="AI11" i="27"/>
  <c r="AH11" i="27"/>
  <c r="AG11" i="27"/>
  <c r="AF11" i="27"/>
  <c r="AE11" i="27"/>
  <c r="AO10" i="27"/>
  <c r="AN10" i="27"/>
  <c r="AN12" i="27" s="1"/>
  <c r="AN57" i="26" s="1"/>
  <c r="AM10" i="27"/>
  <c r="AL10" i="27"/>
  <c r="AL12" i="27" s="1"/>
  <c r="AL57" i="26" s="1"/>
  <c r="AK10" i="27"/>
  <c r="AK12" i="27" s="1"/>
  <c r="AK57" i="26" s="1"/>
  <c r="AJ10" i="27"/>
  <c r="AJ12" i="27" s="1"/>
  <c r="AJ57" i="26" s="1"/>
  <c r="AI10" i="27"/>
  <c r="AH10" i="27"/>
  <c r="AG10" i="27"/>
  <c r="AF10" i="27"/>
  <c r="AE10" i="27"/>
  <c r="AO8" i="27"/>
  <c r="AN8" i="27"/>
  <c r="AM8" i="27"/>
  <c r="AL8" i="27"/>
  <c r="AK8" i="27"/>
  <c r="AJ8" i="27"/>
  <c r="AI8" i="27"/>
  <c r="AH8" i="27"/>
  <c r="AG8" i="27"/>
  <c r="AF8" i="27"/>
  <c r="AE8" i="27"/>
  <c r="AO7" i="27"/>
  <c r="AN7" i="27"/>
  <c r="AN9" i="27" s="1"/>
  <c r="AN55" i="26" s="1"/>
  <c r="AM7" i="27"/>
  <c r="AL7" i="27"/>
  <c r="AK7" i="27"/>
  <c r="AJ7" i="27"/>
  <c r="AI7" i="27"/>
  <c r="AH7" i="27"/>
  <c r="AG7" i="27"/>
  <c r="AF7" i="27"/>
  <c r="AE7" i="27"/>
  <c r="AO5" i="27"/>
  <c r="AN5" i="27"/>
  <c r="AM5" i="27"/>
  <c r="AL5" i="27"/>
  <c r="AK5" i="27"/>
  <c r="AJ5" i="27"/>
  <c r="AI5" i="27"/>
  <c r="AH5" i="27"/>
  <c r="AG5" i="27"/>
  <c r="AF5" i="27"/>
  <c r="AE5" i="27"/>
  <c r="AO4" i="27"/>
  <c r="AN4" i="27"/>
  <c r="AM4" i="27"/>
  <c r="AL4" i="27"/>
  <c r="AK4" i="27"/>
  <c r="AJ4" i="27"/>
  <c r="AJ6" i="27" s="1"/>
  <c r="AJ53" i="26" s="1"/>
  <c r="AI4" i="27"/>
  <c r="AH4" i="27"/>
  <c r="AH6" i="27" s="1"/>
  <c r="AH53" i="26" s="1"/>
  <c r="AG4" i="27"/>
  <c r="AG6" i="27" s="1"/>
  <c r="AG53" i="26" s="1"/>
  <c r="AF4" i="27"/>
  <c r="AF6" i="27" s="1"/>
  <c r="AF53" i="26" s="1"/>
  <c r="AE4" i="27"/>
  <c r="AD23" i="27"/>
  <c r="AD24" i="27" s="1"/>
  <c r="AD65" i="26" s="1"/>
  <c r="AD22" i="27"/>
  <c r="AD20" i="27"/>
  <c r="AD41" i="27" s="1"/>
  <c r="AD42" i="27" s="1"/>
  <c r="AD19" i="27"/>
  <c r="AD17" i="27"/>
  <c r="AD39" i="27" s="1"/>
  <c r="AD40" i="27" s="1"/>
  <c r="AD16" i="27"/>
  <c r="AD14" i="27"/>
  <c r="AD37" i="27" s="1"/>
  <c r="AD38" i="27" s="1"/>
  <c r="AD13" i="27"/>
  <c r="AD11" i="27"/>
  <c r="AD10" i="27"/>
  <c r="AD8" i="27"/>
  <c r="AD7" i="27"/>
  <c r="AD5" i="27"/>
  <c r="AD4" i="27"/>
  <c r="AB23" i="27"/>
  <c r="AA23" i="27"/>
  <c r="Z23" i="27"/>
  <c r="Y23" i="27"/>
  <c r="X23" i="27"/>
  <c r="W23" i="27"/>
  <c r="V23" i="27"/>
  <c r="U23" i="27"/>
  <c r="T23" i="27"/>
  <c r="S23" i="27"/>
  <c r="R23" i="27"/>
  <c r="AB22" i="27"/>
  <c r="AA22" i="27"/>
  <c r="Z22" i="27"/>
  <c r="Z24" i="27" s="1"/>
  <c r="Z65" i="26" s="1"/>
  <c r="Y22" i="27"/>
  <c r="Y24" i="27" s="1"/>
  <c r="Y65" i="26" s="1"/>
  <c r="X22" i="27"/>
  <c r="W22" i="27"/>
  <c r="V22" i="27"/>
  <c r="V24" i="27" s="1"/>
  <c r="V65" i="26" s="1"/>
  <c r="U22" i="27"/>
  <c r="T22" i="27"/>
  <c r="S22" i="27"/>
  <c r="R22" i="27"/>
  <c r="AB20" i="27"/>
  <c r="AA20" i="27"/>
  <c r="Z20" i="27"/>
  <c r="Y20" i="27"/>
  <c r="X20" i="27"/>
  <c r="W20" i="27"/>
  <c r="V20" i="27"/>
  <c r="U20" i="27"/>
  <c r="T20" i="27"/>
  <c r="S20" i="27"/>
  <c r="R20" i="27"/>
  <c r="AB19" i="27"/>
  <c r="AA19" i="27"/>
  <c r="Z19" i="27"/>
  <c r="Y19" i="27"/>
  <c r="X19" i="27"/>
  <c r="W19" i="27"/>
  <c r="V19" i="27"/>
  <c r="U19" i="27"/>
  <c r="T19" i="27"/>
  <c r="S19" i="27"/>
  <c r="R19" i="27"/>
  <c r="R21" i="27" s="1"/>
  <c r="R63" i="26" s="1"/>
  <c r="AB17" i="27"/>
  <c r="AA17" i="27"/>
  <c r="Z17" i="27"/>
  <c r="Y17" i="27"/>
  <c r="X17" i="27"/>
  <c r="W17" i="27"/>
  <c r="V17" i="27"/>
  <c r="U17" i="27"/>
  <c r="T17" i="27"/>
  <c r="S17" i="27"/>
  <c r="R17" i="27"/>
  <c r="AB16" i="27"/>
  <c r="AA16" i="27"/>
  <c r="Z16" i="27"/>
  <c r="Y16" i="27"/>
  <c r="X16" i="27"/>
  <c r="W16" i="27"/>
  <c r="W18" i="27" s="1"/>
  <c r="W61" i="26" s="1"/>
  <c r="V16" i="27"/>
  <c r="V18" i="27" s="1"/>
  <c r="V61" i="26" s="1"/>
  <c r="U16" i="27"/>
  <c r="U18" i="27" s="1"/>
  <c r="U61" i="26" s="1"/>
  <c r="T16" i="27"/>
  <c r="T18" i="27" s="1"/>
  <c r="T61" i="26" s="1"/>
  <c r="S16" i="27"/>
  <c r="R16" i="27"/>
  <c r="R18" i="27" s="1"/>
  <c r="R61" i="26" s="1"/>
  <c r="AB14" i="27"/>
  <c r="AA14" i="27"/>
  <c r="Z14" i="27"/>
  <c r="Y14" i="27"/>
  <c r="X14" i="27"/>
  <c r="W14" i="27"/>
  <c r="V14" i="27"/>
  <c r="U14" i="27"/>
  <c r="T14" i="27"/>
  <c r="S14" i="27"/>
  <c r="R14" i="27"/>
  <c r="AB13" i="27"/>
  <c r="AB15" i="27" s="1"/>
  <c r="AB59" i="26" s="1"/>
  <c r="AA13" i="27"/>
  <c r="Z13" i="27"/>
  <c r="Y13" i="27"/>
  <c r="Y15" i="27" s="1"/>
  <c r="Y59" i="26" s="1"/>
  <c r="X13" i="27"/>
  <c r="X15" i="27" s="1"/>
  <c r="X59" i="26" s="1"/>
  <c r="W13" i="27"/>
  <c r="V13" i="27"/>
  <c r="U13" i="27"/>
  <c r="T13" i="27"/>
  <c r="S13" i="27"/>
  <c r="R13" i="27"/>
  <c r="AB11" i="27"/>
  <c r="AA11" i="27"/>
  <c r="Z11" i="27"/>
  <c r="Y11" i="27"/>
  <c r="X11" i="27"/>
  <c r="W11" i="27"/>
  <c r="V11" i="27"/>
  <c r="U11" i="27"/>
  <c r="T11" i="27"/>
  <c r="S11" i="27"/>
  <c r="R11" i="27"/>
  <c r="AB10" i="27"/>
  <c r="AA10" i="27"/>
  <c r="Z10" i="27"/>
  <c r="Y10" i="27"/>
  <c r="X10" i="27"/>
  <c r="W10" i="27"/>
  <c r="V10" i="27"/>
  <c r="U10" i="27"/>
  <c r="U12" i="27" s="1"/>
  <c r="U57" i="26" s="1"/>
  <c r="T10" i="27"/>
  <c r="T12" i="27" s="1"/>
  <c r="T57" i="26" s="1"/>
  <c r="S10" i="27"/>
  <c r="S12" i="27" s="1"/>
  <c r="S57" i="26" s="1"/>
  <c r="R10" i="27"/>
  <c r="R12" i="27" s="1"/>
  <c r="R57" i="26" s="1"/>
  <c r="AA9" i="27"/>
  <c r="AA55" i="26" s="1"/>
  <c r="AB8" i="27"/>
  <c r="AA8" i="27"/>
  <c r="Z8" i="27"/>
  <c r="Y8" i="27"/>
  <c r="X8" i="27"/>
  <c r="W8" i="27"/>
  <c r="V8" i="27"/>
  <c r="U8" i="27"/>
  <c r="T8" i="27"/>
  <c r="S8" i="27"/>
  <c r="R8" i="27"/>
  <c r="AB7" i="27"/>
  <c r="AB9" i="27" s="1"/>
  <c r="AB55" i="26" s="1"/>
  <c r="AA7" i="27"/>
  <c r="Z7" i="27"/>
  <c r="Y7" i="27"/>
  <c r="Y9" i="27" s="1"/>
  <c r="Y55" i="26" s="1"/>
  <c r="X7" i="27"/>
  <c r="W7" i="27"/>
  <c r="W9" i="27" s="1"/>
  <c r="W55" i="26" s="1"/>
  <c r="V7" i="27"/>
  <c r="U7" i="27"/>
  <c r="T7" i="27"/>
  <c r="S7" i="27"/>
  <c r="S9" i="27" s="1"/>
  <c r="S55" i="26" s="1"/>
  <c r="R7" i="27"/>
  <c r="AB5" i="27"/>
  <c r="AB6" i="27" s="1"/>
  <c r="AB53" i="26" s="1"/>
  <c r="AA5" i="27"/>
  <c r="Z5" i="27"/>
  <c r="Y5" i="27"/>
  <c r="X5" i="27"/>
  <c r="W5" i="27"/>
  <c r="V5" i="27"/>
  <c r="U5" i="27"/>
  <c r="T5" i="27"/>
  <c r="S5" i="27"/>
  <c r="R5" i="27"/>
  <c r="AB4" i="27"/>
  <c r="AA4" i="27"/>
  <c r="AA6" i="27" s="1"/>
  <c r="AA53" i="26" s="1"/>
  <c r="Z4" i="27"/>
  <c r="Y4" i="27"/>
  <c r="X4" i="27"/>
  <c r="W4" i="27"/>
  <c r="W6" i="27" s="1"/>
  <c r="W53" i="26" s="1"/>
  <c r="V4" i="27"/>
  <c r="U4" i="27"/>
  <c r="U6" i="27" s="1"/>
  <c r="U53" i="26" s="1"/>
  <c r="T4" i="27"/>
  <c r="T6" i="27" s="1"/>
  <c r="T53" i="26" s="1"/>
  <c r="S4" i="27"/>
  <c r="S6" i="27" s="1"/>
  <c r="S53" i="26" s="1"/>
  <c r="R4" i="27"/>
  <c r="Q23" i="27"/>
  <c r="Q43" i="27" s="1"/>
  <c r="Q44" i="27" s="1"/>
  <c r="Q22" i="27"/>
  <c r="Q20" i="27"/>
  <c r="Q41" i="27" s="1"/>
  <c r="Q42" i="27" s="1"/>
  <c r="Q19" i="27"/>
  <c r="Q17" i="27"/>
  <c r="Q16" i="27"/>
  <c r="Q14" i="27"/>
  <c r="Q13" i="27"/>
  <c r="Q11" i="27"/>
  <c r="Q10" i="27"/>
  <c r="Q8" i="27"/>
  <c r="Q7" i="27"/>
  <c r="Q9" i="27" s="1"/>
  <c r="Q55" i="26" s="1"/>
  <c r="Q5" i="27"/>
  <c r="Q4" i="27"/>
  <c r="K24" i="27"/>
  <c r="K65" i="26" s="1"/>
  <c r="O23" i="27"/>
  <c r="N23" i="27"/>
  <c r="M23" i="27"/>
  <c r="L23" i="27"/>
  <c r="K23" i="27"/>
  <c r="J23" i="27"/>
  <c r="I23" i="27"/>
  <c r="H23" i="27"/>
  <c r="G23" i="27"/>
  <c r="F23" i="27"/>
  <c r="E23" i="27"/>
  <c r="O22" i="27"/>
  <c r="O24" i="27" s="1"/>
  <c r="O65" i="26" s="1"/>
  <c r="N22" i="27"/>
  <c r="N24" i="27" s="1"/>
  <c r="N65" i="26" s="1"/>
  <c r="M22" i="27"/>
  <c r="L22" i="27"/>
  <c r="L24" i="27" s="1"/>
  <c r="L65" i="26" s="1"/>
  <c r="K22" i="27"/>
  <c r="J22" i="27"/>
  <c r="I22" i="27"/>
  <c r="H22" i="27"/>
  <c r="G22" i="27"/>
  <c r="F22" i="27"/>
  <c r="E22" i="27"/>
  <c r="O20" i="27"/>
  <c r="N20" i="27"/>
  <c r="M20" i="27"/>
  <c r="L20" i="27"/>
  <c r="K20" i="27"/>
  <c r="J20" i="27"/>
  <c r="I20" i="27"/>
  <c r="H20" i="27"/>
  <c r="G20" i="27"/>
  <c r="F20" i="27"/>
  <c r="E20" i="27"/>
  <c r="O19" i="27"/>
  <c r="N19" i="27"/>
  <c r="M19" i="27"/>
  <c r="M21" i="27" s="1"/>
  <c r="M63" i="26" s="1"/>
  <c r="L19" i="27"/>
  <c r="K19" i="27"/>
  <c r="J19" i="27"/>
  <c r="I19" i="27"/>
  <c r="H19" i="27"/>
  <c r="G19" i="27"/>
  <c r="F19" i="27"/>
  <c r="F21" i="27" s="1"/>
  <c r="F63" i="26" s="1"/>
  <c r="E19" i="27"/>
  <c r="E21" i="27" s="1"/>
  <c r="E63" i="26" s="1"/>
  <c r="E18" i="27"/>
  <c r="E61" i="26" s="1"/>
  <c r="O17" i="27"/>
  <c r="N17" i="27"/>
  <c r="M17" i="27"/>
  <c r="L17" i="27"/>
  <c r="K17" i="27"/>
  <c r="J17" i="27"/>
  <c r="I17" i="27"/>
  <c r="H17" i="27"/>
  <c r="G17" i="27"/>
  <c r="F17" i="27"/>
  <c r="E17" i="27"/>
  <c r="O16" i="27"/>
  <c r="N16" i="27"/>
  <c r="M16" i="27"/>
  <c r="M18" i="27" s="1"/>
  <c r="M61" i="26" s="1"/>
  <c r="L16" i="27"/>
  <c r="K16" i="27"/>
  <c r="K18" i="27" s="1"/>
  <c r="K61" i="26" s="1"/>
  <c r="J16" i="27"/>
  <c r="J18" i="27" s="1"/>
  <c r="J61" i="26" s="1"/>
  <c r="I16" i="27"/>
  <c r="I18" i="27" s="1"/>
  <c r="I61" i="26" s="1"/>
  <c r="H16" i="27"/>
  <c r="G16" i="27"/>
  <c r="G18" i="27" s="1"/>
  <c r="G61" i="26" s="1"/>
  <c r="F16" i="27"/>
  <c r="E16" i="27"/>
  <c r="O14" i="27"/>
  <c r="N14" i="27"/>
  <c r="M14" i="27"/>
  <c r="L14" i="27"/>
  <c r="K14" i="27"/>
  <c r="J14" i="27"/>
  <c r="I14" i="27"/>
  <c r="H14" i="27"/>
  <c r="G14" i="27"/>
  <c r="F14" i="27"/>
  <c r="E14" i="27"/>
  <c r="O13" i="27"/>
  <c r="O15" i="27" s="1"/>
  <c r="O59" i="26" s="1"/>
  <c r="N13" i="27"/>
  <c r="M13" i="27"/>
  <c r="L13" i="27"/>
  <c r="K13" i="27"/>
  <c r="J13" i="27"/>
  <c r="J15" i="27" s="1"/>
  <c r="J59" i="26" s="1"/>
  <c r="I13" i="27"/>
  <c r="H13" i="27"/>
  <c r="G13" i="27"/>
  <c r="F13" i="27"/>
  <c r="F15" i="27" s="1"/>
  <c r="F59" i="26" s="1"/>
  <c r="E13" i="27"/>
  <c r="O11" i="27"/>
  <c r="O12" i="27" s="1"/>
  <c r="O57" i="26" s="1"/>
  <c r="N11" i="27"/>
  <c r="M11" i="27"/>
  <c r="L11" i="27"/>
  <c r="K11" i="27"/>
  <c r="J11" i="27"/>
  <c r="I11" i="27"/>
  <c r="H11" i="27"/>
  <c r="G11" i="27"/>
  <c r="F11" i="27"/>
  <c r="E11" i="27"/>
  <c r="O10" i="27"/>
  <c r="N10" i="27"/>
  <c r="M10" i="27"/>
  <c r="M12" i="27" s="1"/>
  <c r="M57" i="26" s="1"/>
  <c r="L10" i="27"/>
  <c r="L12" i="27" s="1"/>
  <c r="L57" i="26" s="1"/>
  <c r="K10" i="27"/>
  <c r="K12" i="27" s="1"/>
  <c r="K57" i="26" s="1"/>
  <c r="J10" i="27"/>
  <c r="I10" i="27"/>
  <c r="I12" i="27" s="1"/>
  <c r="I57" i="26" s="1"/>
  <c r="H10" i="27"/>
  <c r="G10" i="27"/>
  <c r="G12" i="27" s="1"/>
  <c r="G57" i="26" s="1"/>
  <c r="F10" i="27"/>
  <c r="E10" i="27"/>
  <c r="O8" i="27"/>
  <c r="N8" i="27"/>
  <c r="M8" i="27"/>
  <c r="L8" i="27"/>
  <c r="K8" i="27"/>
  <c r="J8" i="27"/>
  <c r="I8" i="27"/>
  <c r="H8" i="27"/>
  <c r="G8" i="27"/>
  <c r="F8" i="27"/>
  <c r="E8" i="27"/>
  <c r="O7" i="27"/>
  <c r="O9" i="27" s="1"/>
  <c r="O55" i="26" s="1"/>
  <c r="N7" i="27"/>
  <c r="M7" i="27"/>
  <c r="M9" i="27" s="1"/>
  <c r="M55" i="26" s="1"/>
  <c r="L7" i="27"/>
  <c r="K7" i="27"/>
  <c r="J7" i="27"/>
  <c r="I7" i="27"/>
  <c r="H7" i="27"/>
  <c r="G7" i="27"/>
  <c r="F7" i="27"/>
  <c r="E7" i="27"/>
  <c r="O5" i="27"/>
  <c r="N5" i="27"/>
  <c r="M5" i="27"/>
  <c r="L5" i="27"/>
  <c r="K5" i="27"/>
  <c r="J5" i="27"/>
  <c r="I5" i="27"/>
  <c r="H5" i="27"/>
  <c r="G5" i="27"/>
  <c r="F5" i="27"/>
  <c r="E5" i="27"/>
  <c r="O4" i="27"/>
  <c r="N4" i="27"/>
  <c r="M4" i="27"/>
  <c r="L4" i="27"/>
  <c r="K4" i="27"/>
  <c r="J4" i="27"/>
  <c r="I4" i="27"/>
  <c r="I6" i="27" s="1"/>
  <c r="I53" i="26" s="1"/>
  <c r="H4" i="27"/>
  <c r="H6" i="27" s="1"/>
  <c r="H53" i="26" s="1"/>
  <c r="G4" i="27"/>
  <c r="F4" i="27"/>
  <c r="F6" i="27" s="1"/>
  <c r="F53" i="26" s="1"/>
  <c r="E4" i="27"/>
  <c r="E6" i="27" s="1"/>
  <c r="E53" i="26" s="1"/>
  <c r="D23" i="27"/>
  <c r="D22" i="27"/>
  <c r="D20" i="27"/>
  <c r="D19" i="27"/>
  <c r="D17" i="27"/>
  <c r="D16" i="27"/>
  <c r="D14" i="27"/>
  <c r="D13" i="27"/>
  <c r="D11" i="27"/>
  <c r="D10" i="27"/>
  <c r="Q7" i="20" l="1"/>
  <c r="S7" i="20" s="1"/>
  <c r="V7" i="20" s="1"/>
  <c r="Q5" i="20"/>
  <c r="S5" i="20" s="1"/>
  <c r="V5" i="20" s="1"/>
  <c r="Q8" i="20"/>
  <c r="S8" i="20" s="1"/>
  <c r="V8" i="20" s="1"/>
  <c r="Q13" i="17"/>
  <c r="Q6" i="20"/>
  <c r="S6" i="20" s="1"/>
  <c r="V6" i="20" s="1"/>
  <c r="Q65" i="17" s="1"/>
  <c r="Q67" i="17" s="1"/>
  <c r="Q4" i="20"/>
  <c r="Q3" i="20"/>
  <c r="AD31" i="27"/>
  <c r="AD32" i="27" s="1"/>
  <c r="H19" i="20"/>
  <c r="V15" i="20"/>
  <c r="V12" i="20"/>
  <c r="AD9" i="27"/>
  <c r="AD55" i="26" s="1"/>
  <c r="K19" i="20"/>
  <c r="Y15" i="20"/>
  <c r="Y12" i="20"/>
  <c r="R12" i="20" s="1"/>
  <c r="P12" i="20" s="1"/>
  <c r="Q13" i="20" s="1"/>
  <c r="V12" i="27"/>
  <c r="V57" i="26" s="1"/>
  <c r="Y18" i="27"/>
  <c r="Y61" i="26" s="1"/>
  <c r="S21" i="27"/>
  <c r="S63" i="26" s="1"/>
  <c r="AK6" i="27"/>
  <c r="AK53" i="26" s="1"/>
  <c r="AE9" i="27"/>
  <c r="AE55" i="26" s="1"/>
  <c r="AO12" i="27"/>
  <c r="AO57" i="26" s="1"/>
  <c r="AI15" i="27"/>
  <c r="AI59" i="26" s="1"/>
  <c r="AM21" i="27"/>
  <c r="AM63" i="26" s="1"/>
  <c r="AG24" i="27"/>
  <c r="AG65" i="26" s="1"/>
  <c r="J6" i="27"/>
  <c r="J53" i="26" s="1"/>
  <c r="E9" i="27"/>
  <c r="E55" i="26" s="1"/>
  <c r="O18" i="27"/>
  <c r="O61" i="26" s="1"/>
  <c r="H21" i="27"/>
  <c r="H63" i="26" s="1"/>
  <c r="Q35" i="27"/>
  <c r="Q36" i="27" s="1"/>
  <c r="W12" i="27"/>
  <c r="W57" i="26" s="1"/>
  <c r="Z18" i="27"/>
  <c r="Z61" i="26" s="1"/>
  <c r="AD12" i="27"/>
  <c r="AD57" i="26" s="1"/>
  <c r="AL6" i="27"/>
  <c r="AL53" i="26" s="1"/>
  <c r="AF9" i="27"/>
  <c r="AF55" i="26" s="1"/>
  <c r="AJ15" i="27"/>
  <c r="AJ59" i="26" s="1"/>
  <c r="AN21" i="27"/>
  <c r="AN63" i="26" s="1"/>
  <c r="AH24" i="27"/>
  <c r="AH65" i="26" s="1"/>
  <c r="Z15" i="20"/>
  <c r="L19" i="20"/>
  <c r="Z12" i="20"/>
  <c r="L6" i="27"/>
  <c r="L53" i="26" s="1"/>
  <c r="I21" i="27"/>
  <c r="I63" i="26" s="1"/>
  <c r="Q15" i="27"/>
  <c r="Q59" i="26" s="1"/>
  <c r="X12" i="27"/>
  <c r="X57" i="26" s="1"/>
  <c r="R15" i="27"/>
  <c r="R59" i="26" s="1"/>
  <c r="AA18" i="27"/>
  <c r="AA61" i="26" s="1"/>
  <c r="U21" i="27"/>
  <c r="U63" i="26" s="1"/>
  <c r="AD15" i="27"/>
  <c r="AD59" i="26" s="1"/>
  <c r="I19" i="20"/>
  <c r="W12" i="20"/>
  <c r="W15" i="20"/>
  <c r="X6" i="27"/>
  <c r="X53" i="26" s="1"/>
  <c r="G9" i="27"/>
  <c r="G55" i="26" s="1"/>
  <c r="J21" i="27"/>
  <c r="J63" i="26" s="1"/>
  <c r="Y12" i="27"/>
  <c r="Y57" i="26" s="1"/>
  <c r="AB18" i="27"/>
  <c r="AB61" i="26" s="1"/>
  <c r="V21" i="27"/>
  <c r="V63" i="26" s="1"/>
  <c r="AN6" i="27"/>
  <c r="AN53" i="26" s="1"/>
  <c r="AH9" i="27"/>
  <c r="AH55" i="26" s="1"/>
  <c r="AL15" i="27"/>
  <c r="AL59" i="26" s="1"/>
  <c r="AF18" i="27"/>
  <c r="AF61" i="26" s="1"/>
  <c r="AJ24" i="27"/>
  <c r="AJ65" i="26" s="1"/>
  <c r="AA15" i="20"/>
  <c r="M19" i="20"/>
  <c r="AA12" i="20"/>
  <c r="AC15" i="20"/>
  <c r="AC12" i="20"/>
  <c r="O19" i="20"/>
  <c r="N18" i="27"/>
  <c r="N61" i="26" s="1"/>
  <c r="G15" i="27"/>
  <c r="G59" i="26" s="1"/>
  <c r="M6" i="27"/>
  <c r="M53" i="26" s="1"/>
  <c r="N6" i="27"/>
  <c r="N53" i="26" s="1"/>
  <c r="H9" i="27"/>
  <c r="H55" i="26" s="1"/>
  <c r="Z12" i="27"/>
  <c r="Z57" i="26" s="1"/>
  <c r="T15" i="27"/>
  <c r="T59" i="26" s="1"/>
  <c r="W21" i="27"/>
  <c r="W63" i="26" s="1"/>
  <c r="AO6" i="27"/>
  <c r="AO53" i="26" s="1"/>
  <c r="AI9" i="27"/>
  <c r="AI55" i="26" s="1"/>
  <c r="AM15" i="27"/>
  <c r="AM59" i="26" s="1"/>
  <c r="AG18" i="27"/>
  <c r="AG61" i="26" s="1"/>
  <c r="AK24" i="27"/>
  <c r="AK65" i="26" s="1"/>
  <c r="T15" i="20"/>
  <c r="T12" i="20"/>
  <c r="F19" i="20"/>
  <c r="K15" i="27"/>
  <c r="K59" i="26" s="1"/>
  <c r="L21" i="27"/>
  <c r="L63" i="26" s="1"/>
  <c r="AA12" i="27"/>
  <c r="AA57" i="26" s="1"/>
  <c r="U15" i="27"/>
  <c r="U59" i="26" s="1"/>
  <c r="R24" i="27"/>
  <c r="R65" i="26" s="1"/>
  <c r="AJ9" i="27"/>
  <c r="AJ55" i="26" s="1"/>
  <c r="AN15" i="27"/>
  <c r="AN59" i="26" s="1"/>
  <c r="AH18" i="27"/>
  <c r="AH61" i="26" s="1"/>
  <c r="AL24" i="27"/>
  <c r="AL65" i="26" s="1"/>
  <c r="J19" i="20"/>
  <c r="X15" i="20"/>
  <c r="R15" i="20" s="1"/>
  <c r="P15" i="20" s="1"/>
  <c r="X12" i="20"/>
  <c r="U12" i="20"/>
  <c r="G19" i="20"/>
  <c r="U15" i="20"/>
  <c r="F24" i="27"/>
  <c r="F65" i="26" s="1"/>
  <c r="T9" i="27"/>
  <c r="T55" i="26" s="1"/>
  <c r="AB12" i="27"/>
  <c r="AB57" i="26" s="1"/>
  <c r="V15" i="27"/>
  <c r="V59" i="26" s="1"/>
  <c r="Y21" i="27"/>
  <c r="Y63" i="26" s="1"/>
  <c r="AB12" i="20"/>
  <c r="N19" i="20"/>
  <c r="AB15" i="20"/>
  <c r="K9" i="27"/>
  <c r="K55" i="26" s="1"/>
  <c r="E12" i="27"/>
  <c r="E57" i="26" s="1"/>
  <c r="N21" i="27"/>
  <c r="N63" i="26" s="1"/>
  <c r="G24" i="27"/>
  <c r="G65" i="26" s="1"/>
  <c r="U9" i="27"/>
  <c r="U55" i="26" s="1"/>
  <c r="Z21" i="27"/>
  <c r="Z63" i="26" s="1"/>
  <c r="AL9" i="27"/>
  <c r="AL55" i="26" s="1"/>
  <c r="AF12" i="27"/>
  <c r="AF57" i="26" s="1"/>
  <c r="AJ18" i="27"/>
  <c r="AJ61" i="26" s="1"/>
  <c r="AN24" i="27"/>
  <c r="AN65" i="26" s="1"/>
  <c r="I9" i="27"/>
  <c r="I55" i="26" s="1"/>
  <c r="L9" i="27"/>
  <c r="L55" i="26" s="1"/>
  <c r="N15" i="27"/>
  <c r="N59" i="26" s="1"/>
  <c r="F18" i="27"/>
  <c r="F61" i="26" s="1"/>
  <c r="H24" i="27"/>
  <c r="H65" i="26" s="1"/>
  <c r="V9" i="27"/>
  <c r="V55" i="26" s="1"/>
  <c r="AA21" i="27"/>
  <c r="AA63" i="26" s="1"/>
  <c r="U24" i="27"/>
  <c r="U65" i="26" s="1"/>
  <c r="AM9" i="27"/>
  <c r="AM55" i="26" s="1"/>
  <c r="AG12" i="27"/>
  <c r="AG57" i="26" s="1"/>
  <c r="AK18" i="27"/>
  <c r="AK61" i="26" s="1"/>
  <c r="AE21" i="27"/>
  <c r="AE63" i="26" s="1"/>
  <c r="AO24" i="27"/>
  <c r="AO65" i="26" s="1"/>
  <c r="AH12" i="27"/>
  <c r="AH57" i="26" s="1"/>
  <c r="AL18" i="27"/>
  <c r="AL61" i="26" s="1"/>
  <c r="AF21" i="27"/>
  <c r="AF63" i="26" s="1"/>
  <c r="H12" i="27"/>
  <c r="H57" i="26" s="1"/>
  <c r="J24" i="27"/>
  <c r="J65" i="26" s="1"/>
  <c r="X9" i="27"/>
  <c r="X55" i="26" s="1"/>
  <c r="Z15" i="27"/>
  <c r="Z59" i="26" s="1"/>
  <c r="S18" i="27"/>
  <c r="S61" i="26" s="1"/>
  <c r="D49" i="17"/>
  <c r="D50" i="17"/>
  <c r="O40" i="17"/>
  <c r="O39" i="17"/>
  <c r="J41" i="17"/>
  <c r="J42" i="17"/>
  <c r="J43" i="17"/>
  <c r="J44" i="17"/>
  <c r="I46" i="17"/>
  <c r="I45" i="17"/>
  <c r="H47" i="17"/>
  <c r="H48" i="17"/>
  <c r="L47" i="17"/>
  <c r="L48" i="17"/>
  <c r="O49" i="17"/>
  <c r="O50" i="17"/>
  <c r="D27" i="17"/>
  <c r="D28" i="17"/>
  <c r="I22" i="17"/>
  <c r="I21" i="17"/>
  <c r="M22" i="17"/>
  <c r="M21" i="17"/>
  <c r="I23" i="17"/>
  <c r="I24" i="17"/>
  <c r="J25" i="17"/>
  <c r="J26" i="17"/>
  <c r="G28" i="17"/>
  <c r="G27" i="17"/>
  <c r="G29" i="17"/>
  <c r="G30" i="17"/>
  <c r="G32" i="17"/>
  <c r="G31" i="17"/>
  <c r="Q33" i="27"/>
  <c r="Q34" i="27" s="1"/>
  <c r="AD33" i="27"/>
  <c r="AD34" i="27" s="1"/>
  <c r="AD43" i="27"/>
  <c r="AD44" i="27" s="1"/>
  <c r="G6" i="27"/>
  <c r="G53" i="26" s="1"/>
  <c r="K6" i="27"/>
  <c r="K53" i="26" s="1"/>
  <c r="O6" i="27"/>
  <c r="O53" i="26" s="1"/>
  <c r="H39" i="17"/>
  <c r="H40" i="17"/>
  <c r="L39" i="17"/>
  <c r="L40" i="17"/>
  <c r="F9" i="27"/>
  <c r="F55" i="26" s="1"/>
  <c r="J9" i="27"/>
  <c r="J55" i="26" s="1"/>
  <c r="N9" i="27"/>
  <c r="N55" i="26" s="1"/>
  <c r="G41" i="17"/>
  <c r="G42" i="17"/>
  <c r="K41" i="17"/>
  <c r="K42" i="17"/>
  <c r="O41" i="17"/>
  <c r="O42" i="17"/>
  <c r="F12" i="27"/>
  <c r="F57" i="26" s="1"/>
  <c r="J12" i="27"/>
  <c r="J57" i="26" s="1"/>
  <c r="N12" i="27"/>
  <c r="N57" i="26" s="1"/>
  <c r="G44" i="17"/>
  <c r="G43" i="17"/>
  <c r="K44" i="17"/>
  <c r="K43" i="17"/>
  <c r="O44" i="17"/>
  <c r="O43" i="17"/>
  <c r="E15" i="27"/>
  <c r="E59" i="26" s="1"/>
  <c r="I15" i="27"/>
  <c r="I59" i="26" s="1"/>
  <c r="M15" i="27"/>
  <c r="M59" i="26" s="1"/>
  <c r="F45" i="17"/>
  <c r="F46" i="17"/>
  <c r="J45" i="17"/>
  <c r="J46" i="17"/>
  <c r="N45" i="17"/>
  <c r="N46" i="17"/>
  <c r="H18" i="27"/>
  <c r="H61" i="26" s="1"/>
  <c r="L18" i="27"/>
  <c r="L61" i="26" s="1"/>
  <c r="E47" i="17"/>
  <c r="E48" i="17"/>
  <c r="I47" i="17"/>
  <c r="I48" i="17"/>
  <c r="M47" i="17"/>
  <c r="M48" i="17"/>
  <c r="G21" i="27"/>
  <c r="G63" i="26" s="1"/>
  <c r="K21" i="27"/>
  <c r="K63" i="26" s="1"/>
  <c r="O21" i="27"/>
  <c r="O63" i="26" s="1"/>
  <c r="H49" i="17"/>
  <c r="H50" i="17"/>
  <c r="L49" i="17"/>
  <c r="L50" i="17"/>
  <c r="E24" i="27"/>
  <c r="E65" i="26" s="1"/>
  <c r="I24" i="27"/>
  <c r="I65" i="26" s="1"/>
  <c r="M24" i="27"/>
  <c r="M65" i="26" s="1"/>
  <c r="F51" i="17"/>
  <c r="F52" i="17"/>
  <c r="J51" i="17"/>
  <c r="J52" i="17"/>
  <c r="N51" i="17"/>
  <c r="N52" i="17"/>
  <c r="D21" i="17"/>
  <c r="D22" i="17"/>
  <c r="D25" i="17"/>
  <c r="D26" i="17"/>
  <c r="Q21" i="27"/>
  <c r="Q63" i="26" s="1"/>
  <c r="R6" i="27"/>
  <c r="R53" i="26" s="1"/>
  <c r="V6" i="27"/>
  <c r="V53" i="26" s="1"/>
  <c r="Z6" i="27"/>
  <c r="Z53" i="26" s="1"/>
  <c r="F19" i="17"/>
  <c r="F20" i="17"/>
  <c r="J19" i="17"/>
  <c r="J20" i="17"/>
  <c r="N19" i="17"/>
  <c r="N20" i="17"/>
  <c r="F21" i="17"/>
  <c r="F22" i="17"/>
  <c r="J21" i="17"/>
  <c r="J22" i="17"/>
  <c r="N21" i="17"/>
  <c r="N22" i="17"/>
  <c r="F23" i="17"/>
  <c r="F24" i="17"/>
  <c r="J23" i="17"/>
  <c r="J24" i="17"/>
  <c r="N23" i="17"/>
  <c r="N24" i="17"/>
  <c r="S15" i="27"/>
  <c r="S59" i="26" s="1"/>
  <c r="W15" i="27"/>
  <c r="W59" i="26" s="1"/>
  <c r="AA15" i="27"/>
  <c r="AA59" i="26" s="1"/>
  <c r="G25" i="17"/>
  <c r="G26" i="17"/>
  <c r="K25" i="17"/>
  <c r="K26" i="17"/>
  <c r="O25" i="17"/>
  <c r="O26" i="17"/>
  <c r="H27" i="17"/>
  <c r="H28" i="17"/>
  <c r="L27" i="17"/>
  <c r="L28" i="17"/>
  <c r="T21" i="27"/>
  <c r="T63" i="26" s="1"/>
  <c r="X21" i="27"/>
  <c r="X63" i="26" s="1"/>
  <c r="AB21" i="27"/>
  <c r="AB63" i="26" s="1"/>
  <c r="H29" i="17"/>
  <c r="H30" i="17"/>
  <c r="L29" i="17"/>
  <c r="L30" i="17"/>
  <c r="T24" i="27"/>
  <c r="T65" i="26" s="1"/>
  <c r="X24" i="27"/>
  <c r="X65" i="26" s="1"/>
  <c r="AB24" i="27"/>
  <c r="AB65" i="26" s="1"/>
  <c r="H31" i="17"/>
  <c r="H32" i="17"/>
  <c r="L31" i="17"/>
  <c r="L32" i="17"/>
  <c r="AD21" i="27"/>
  <c r="AD63" i="26" s="1"/>
  <c r="AE6" i="27"/>
  <c r="AE53" i="26" s="1"/>
  <c r="AG9" i="27"/>
  <c r="AG55" i="26" s="1"/>
  <c r="AK9" i="27"/>
  <c r="AK55" i="26" s="1"/>
  <c r="AO9" i="27"/>
  <c r="AO55" i="26" s="1"/>
  <c r="AE12" i="27"/>
  <c r="AE57" i="26" s="1"/>
  <c r="AI12" i="27"/>
  <c r="AI57" i="26" s="1"/>
  <c r="AM12" i="27"/>
  <c r="AM57" i="26" s="1"/>
  <c r="AG15" i="27"/>
  <c r="AG59" i="26" s="1"/>
  <c r="AK15" i="27"/>
  <c r="AK59" i="26" s="1"/>
  <c r="AO15" i="27"/>
  <c r="AO59" i="26" s="1"/>
  <c r="AE18" i="27"/>
  <c r="AE61" i="26" s="1"/>
  <c r="AI18" i="27"/>
  <c r="AI61" i="26" s="1"/>
  <c r="AM18" i="27"/>
  <c r="AM61" i="26" s="1"/>
  <c r="AG21" i="27"/>
  <c r="AG63" i="26" s="1"/>
  <c r="AK21" i="27"/>
  <c r="AK63" i="26" s="1"/>
  <c r="AO21" i="27"/>
  <c r="AO63" i="26" s="1"/>
  <c r="AE24" i="27"/>
  <c r="AE65" i="26" s="1"/>
  <c r="AI24" i="27"/>
  <c r="AI65" i="26" s="1"/>
  <c r="AM24" i="27"/>
  <c r="AM65" i="26" s="1"/>
  <c r="G40" i="17"/>
  <c r="G39" i="17"/>
  <c r="F41" i="17"/>
  <c r="F42" i="17"/>
  <c r="F43" i="17"/>
  <c r="F44" i="17"/>
  <c r="N43" i="17"/>
  <c r="N44" i="17"/>
  <c r="G49" i="17"/>
  <c r="G50" i="17"/>
  <c r="I51" i="17"/>
  <c r="I52" i="17"/>
  <c r="M51" i="17"/>
  <c r="M52" i="17"/>
  <c r="Q24" i="27"/>
  <c r="Q65" i="26" s="1"/>
  <c r="D31" i="17"/>
  <c r="D32" i="17"/>
  <c r="E19" i="17"/>
  <c r="E20" i="17"/>
  <c r="M19" i="17"/>
  <c r="M20" i="17"/>
  <c r="E22" i="17"/>
  <c r="E21" i="17"/>
  <c r="E23" i="17"/>
  <c r="E24" i="17"/>
  <c r="F25" i="17"/>
  <c r="F26" i="17"/>
  <c r="N25" i="17"/>
  <c r="N26" i="17"/>
  <c r="K28" i="17"/>
  <c r="K27" i="17"/>
  <c r="X18" i="27"/>
  <c r="X61" i="26" s="1"/>
  <c r="O29" i="17"/>
  <c r="O30" i="17"/>
  <c r="O32" i="17"/>
  <c r="O31" i="17"/>
  <c r="D44" i="17"/>
  <c r="D43" i="17"/>
  <c r="D48" i="17"/>
  <c r="D47" i="17"/>
  <c r="D52" i="17"/>
  <c r="D51" i="17"/>
  <c r="E39" i="17"/>
  <c r="E40" i="17"/>
  <c r="I39" i="17"/>
  <c r="I40" i="17"/>
  <c r="M39" i="17"/>
  <c r="M40" i="17"/>
  <c r="H41" i="17"/>
  <c r="H42" i="17"/>
  <c r="L41" i="17"/>
  <c r="L42" i="17"/>
  <c r="H43" i="17"/>
  <c r="H44" i="17"/>
  <c r="L43" i="17"/>
  <c r="L44" i="17"/>
  <c r="G45" i="17"/>
  <c r="G46" i="17"/>
  <c r="K45" i="17"/>
  <c r="K46" i="17"/>
  <c r="O45" i="17"/>
  <c r="O46" i="17"/>
  <c r="F47" i="17"/>
  <c r="F48" i="17"/>
  <c r="J47" i="17"/>
  <c r="J48" i="17"/>
  <c r="N47" i="17"/>
  <c r="N48" i="17"/>
  <c r="E50" i="17"/>
  <c r="E49" i="17"/>
  <c r="I50" i="17"/>
  <c r="I49" i="17"/>
  <c r="M50" i="17"/>
  <c r="M49" i="17"/>
  <c r="G52" i="17"/>
  <c r="G51" i="17"/>
  <c r="K52" i="17"/>
  <c r="K51" i="17"/>
  <c r="O52" i="17"/>
  <c r="O51" i="17"/>
  <c r="Q6" i="27"/>
  <c r="Q53" i="26" s="1"/>
  <c r="D30" i="17"/>
  <c r="D29" i="17"/>
  <c r="G20" i="17"/>
  <c r="G19" i="17"/>
  <c r="K20" i="17"/>
  <c r="K19" i="17"/>
  <c r="O20" i="17"/>
  <c r="O19" i="17"/>
  <c r="G21" i="17"/>
  <c r="G22" i="17"/>
  <c r="K21" i="17"/>
  <c r="K22" i="17"/>
  <c r="O21" i="17"/>
  <c r="O22" i="17"/>
  <c r="G24" i="17"/>
  <c r="G23" i="17"/>
  <c r="K24" i="17"/>
  <c r="K23" i="17"/>
  <c r="O24" i="17"/>
  <c r="O23" i="17"/>
  <c r="H25" i="17"/>
  <c r="H26" i="17"/>
  <c r="L25" i="17"/>
  <c r="L26" i="17"/>
  <c r="E27" i="17"/>
  <c r="E28" i="17"/>
  <c r="I27" i="17"/>
  <c r="I28" i="17"/>
  <c r="M27" i="17"/>
  <c r="M28" i="17"/>
  <c r="E30" i="17"/>
  <c r="E29" i="17"/>
  <c r="I30" i="17"/>
  <c r="I29" i="17"/>
  <c r="M30" i="17"/>
  <c r="M29" i="17"/>
  <c r="E31" i="17"/>
  <c r="E32" i="17"/>
  <c r="I31" i="17"/>
  <c r="I32" i="17"/>
  <c r="M31" i="17"/>
  <c r="M32" i="17"/>
  <c r="AD6" i="27"/>
  <c r="AD53" i="26" s="1"/>
  <c r="Q37" i="27"/>
  <c r="Q38" i="27" s="1"/>
  <c r="AD35" i="27"/>
  <c r="AD36" i="27" s="1"/>
  <c r="D46" i="17"/>
  <c r="D45" i="17"/>
  <c r="K40" i="17"/>
  <c r="K39" i="17"/>
  <c r="N41" i="17"/>
  <c r="N42" i="17"/>
  <c r="E46" i="17"/>
  <c r="E45" i="17"/>
  <c r="M46" i="17"/>
  <c r="M45" i="17"/>
  <c r="K49" i="17"/>
  <c r="K50" i="17"/>
  <c r="E51" i="17"/>
  <c r="E52" i="17"/>
  <c r="I19" i="17"/>
  <c r="I20" i="17"/>
  <c r="M23" i="17"/>
  <c r="M24" i="17"/>
  <c r="O28" i="17"/>
  <c r="O27" i="17"/>
  <c r="K29" i="17"/>
  <c r="K30" i="17"/>
  <c r="K32" i="17"/>
  <c r="K31" i="17"/>
  <c r="F39" i="17"/>
  <c r="F40" i="17"/>
  <c r="J39" i="17"/>
  <c r="J40" i="17"/>
  <c r="N39" i="17"/>
  <c r="N40" i="17"/>
  <c r="E42" i="17"/>
  <c r="E41" i="17"/>
  <c r="I42" i="17"/>
  <c r="I41" i="17"/>
  <c r="M42" i="17"/>
  <c r="M41" i="17"/>
  <c r="E43" i="17"/>
  <c r="E44" i="17"/>
  <c r="I43" i="17"/>
  <c r="I44" i="17"/>
  <c r="M43" i="17"/>
  <c r="M44" i="17"/>
  <c r="H45" i="17"/>
  <c r="H46" i="17"/>
  <c r="L45" i="17"/>
  <c r="L46" i="17"/>
  <c r="G48" i="17"/>
  <c r="G47" i="17"/>
  <c r="K48" i="17"/>
  <c r="K47" i="17"/>
  <c r="O48" i="17"/>
  <c r="O47" i="17"/>
  <c r="F49" i="17"/>
  <c r="F50" i="17"/>
  <c r="J49" i="17"/>
  <c r="J50" i="17"/>
  <c r="N49" i="17"/>
  <c r="N50" i="17"/>
  <c r="H51" i="17"/>
  <c r="H52" i="17"/>
  <c r="L51" i="17"/>
  <c r="L52" i="17"/>
  <c r="D19" i="17"/>
  <c r="D20" i="17"/>
  <c r="Q12" i="27"/>
  <c r="Q57" i="26" s="1"/>
  <c r="D23" i="17"/>
  <c r="D24" i="17"/>
  <c r="Q18" i="27"/>
  <c r="Q61" i="26" s="1"/>
  <c r="H19" i="17"/>
  <c r="H20" i="17"/>
  <c r="L19" i="17"/>
  <c r="L20" i="17"/>
  <c r="H21" i="17"/>
  <c r="H22" i="17"/>
  <c r="L21" i="17"/>
  <c r="L22" i="17"/>
  <c r="R9" i="27"/>
  <c r="R55" i="26" s="1"/>
  <c r="Z9" i="27"/>
  <c r="Z55" i="26" s="1"/>
  <c r="H23" i="17"/>
  <c r="H24" i="17"/>
  <c r="L23" i="17"/>
  <c r="L24" i="17"/>
  <c r="E26" i="17"/>
  <c r="E25" i="17"/>
  <c r="I26" i="17"/>
  <c r="I25" i="17"/>
  <c r="M26" i="17"/>
  <c r="M25" i="17"/>
  <c r="F27" i="17"/>
  <c r="F28" i="17"/>
  <c r="J27" i="17"/>
  <c r="J28" i="17"/>
  <c r="N27" i="17"/>
  <c r="N28" i="17"/>
  <c r="F29" i="17"/>
  <c r="F30" i="17"/>
  <c r="J29" i="17"/>
  <c r="J30" i="17"/>
  <c r="N29" i="17"/>
  <c r="N30" i="17"/>
  <c r="F31" i="17"/>
  <c r="F32" i="17"/>
  <c r="J31" i="17"/>
  <c r="J32" i="17"/>
  <c r="N31" i="17"/>
  <c r="N32" i="17"/>
  <c r="AD18" i="27"/>
  <c r="AD61" i="26" s="1"/>
  <c r="Q31" i="27"/>
  <c r="Q32" i="27" s="1"/>
  <c r="Q39" i="27"/>
  <c r="Q40" i="27" s="1"/>
  <c r="P6" i="17"/>
  <c r="AP67" i="26"/>
  <c r="AI6" i="27"/>
  <c r="AI53" i="26" s="1"/>
  <c r="AM6" i="27"/>
  <c r="AM53" i="26" s="1"/>
  <c r="Y6" i="27"/>
  <c r="Y53" i="26" s="1"/>
  <c r="S24" i="27"/>
  <c r="S65" i="26" s="1"/>
  <c r="W24" i="27"/>
  <c r="W65" i="26" s="1"/>
  <c r="AA24" i="27"/>
  <c r="AA65" i="26" s="1"/>
  <c r="H15" i="27"/>
  <c r="H59" i="26" s="1"/>
  <c r="L15" i="27"/>
  <c r="L59" i="26" s="1"/>
  <c r="D18" i="27"/>
  <c r="D61" i="26" s="1"/>
  <c r="D12" i="27"/>
  <c r="D57" i="26" s="1"/>
  <c r="D8" i="27"/>
  <c r="D7" i="27"/>
  <c r="D5" i="27"/>
  <c r="D24" i="27"/>
  <c r="D65" i="26" s="1"/>
  <c r="AF27" i="27"/>
  <c r="AO26" i="27"/>
  <c r="AN26" i="27"/>
  <c r="N4" i="17" s="1"/>
  <c r="AM26" i="27"/>
  <c r="M4" i="17" s="1"/>
  <c r="AL26" i="27"/>
  <c r="L4" i="17" s="1"/>
  <c r="AK26" i="27"/>
  <c r="AJ26" i="27"/>
  <c r="J4" i="17" s="1"/>
  <c r="AI26" i="27"/>
  <c r="I4" i="17" s="1"/>
  <c r="AH26" i="27"/>
  <c r="H4" i="17" s="1"/>
  <c r="AG26" i="27"/>
  <c r="AF26" i="27"/>
  <c r="F4" i="17" s="1"/>
  <c r="AE26" i="27"/>
  <c r="E4" i="17" s="1"/>
  <c r="AO25" i="27"/>
  <c r="AN25" i="27"/>
  <c r="AM25" i="27"/>
  <c r="AL25" i="27"/>
  <c r="AK25" i="27"/>
  <c r="AJ25" i="27"/>
  <c r="AJ27" i="27" s="1"/>
  <c r="AI25" i="27"/>
  <c r="AH25" i="27"/>
  <c r="AG25" i="27"/>
  <c r="AF25" i="27"/>
  <c r="AE25" i="27"/>
  <c r="AD26" i="27"/>
  <c r="AD25" i="27"/>
  <c r="AD27" i="27" s="1"/>
  <c r="AB26" i="27"/>
  <c r="AA26" i="27"/>
  <c r="Z26" i="27"/>
  <c r="Y26" i="27"/>
  <c r="X26" i="27"/>
  <c r="W26" i="27"/>
  <c r="V26" i="27"/>
  <c r="U26" i="27"/>
  <c r="T26" i="27"/>
  <c r="S26" i="27"/>
  <c r="R26" i="27"/>
  <c r="AB25" i="27"/>
  <c r="AB27" i="27" s="1"/>
  <c r="AB67" i="26" s="1"/>
  <c r="AA25" i="27"/>
  <c r="AA27" i="27" s="1"/>
  <c r="AA67" i="26" s="1"/>
  <c r="Z25" i="27"/>
  <c r="Y25" i="27"/>
  <c r="X25" i="27"/>
  <c r="W25" i="27"/>
  <c r="V25" i="27"/>
  <c r="U25" i="27"/>
  <c r="T25" i="27"/>
  <c r="S25" i="27"/>
  <c r="R25" i="27"/>
  <c r="Q26" i="27"/>
  <c r="Q25" i="27"/>
  <c r="O26" i="27"/>
  <c r="N26" i="27"/>
  <c r="M26" i="27"/>
  <c r="L26" i="27"/>
  <c r="K26" i="27"/>
  <c r="J26" i="27"/>
  <c r="I26" i="27"/>
  <c r="H26" i="27"/>
  <c r="G26" i="27"/>
  <c r="F26" i="27"/>
  <c r="E26" i="27"/>
  <c r="O25" i="27"/>
  <c r="N25" i="27"/>
  <c r="M25" i="27"/>
  <c r="L25" i="27"/>
  <c r="K25" i="27"/>
  <c r="K27" i="27" s="1"/>
  <c r="K67" i="26" s="1"/>
  <c r="J25" i="27"/>
  <c r="I25" i="27"/>
  <c r="H25" i="27"/>
  <c r="H27" i="27" s="1"/>
  <c r="H67" i="26" s="1"/>
  <c r="G25" i="27"/>
  <c r="G27" i="27" s="1"/>
  <c r="G67" i="26" s="1"/>
  <c r="F25" i="27"/>
  <c r="E25" i="27"/>
  <c r="D25" i="27"/>
  <c r="D26" i="27"/>
  <c r="D4" i="27"/>
  <c r="Q16" i="20" l="1"/>
  <c r="P19" i="20"/>
  <c r="S27" i="27"/>
  <c r="S67" i="26" s="1"/>
  <c r="AN27" i="27"/>
  <c r="N6" i="17" s="1"/>
  <c r="Q27" i="27"/>
  <c r="Q67" i="26" s="1"/>
  <c r="O27" i="27"/>
  <c r="O67" i="26" s="1"/>
  <c r="Q11" i="17"/>
  <c r="S3" i="20"/>
  <c r="Q9" i="20"/>
  <c r="T27" i="27"/>
  <c r="T67" i="26" s="1"/>
  <c r="Q9" i="17"/>
  <c r="S4" i="20"/>
  <c r="V4" i="20" s="1"/>
  <c r="L27" i="27"/>
  <c r="L67" i="26" s="1"/>
  <c r="W27" i="27"/>
  <c r="W67" i="26" s="1"/>
  <c r="X27" i="27"/>
  <c r="X67" i="26" s="1"/>
  <c r="AN67" i="26"/>
  <c r="AJ67" i="26"/>
  <c r="J6" i="17"/>
  <c r="M54" i="17"/>
  <c r="M53" i="17"/>
  <c r="AD67" i="26"/>
  <c r="D6" i="17"/>
  <c r="I27" i="27"/>
  <c r="I67" i="26" s="1"/>
  <c r="F53" i="17"/>
  <c r="F54" i="17"/>
  <c r="N53" i="17"/>
  <c r="N54" i="17"/>
  <c r="U27" i="27"/>
  <c r="U67" i="26" s="1"/>
  <c r="Y27" i="27"/>
  <c r="Y67" i="26" s="1"/>
  <c r="E34" i="17"/>
  <c r="E33" i="17"/>
  <c r="I34" i="17"/>
  <c r="I33" i="17"/>
  <c r="M34" i="17"/>
  <c r="M33" i="17"/>
  <c r="D4" i="17"/>
  <c r="AD45" i="27"/>
  <c r="AD46" i="27" s="1"/>
  <c r="AH27" i="27"/>
  <c r="AL27" i="27"/>
  <c r="E54" i="17"/>
  <c r="E53" i="17"/>
  <c r="D34" i="17"/>
  <c r="D33" i="17"/>
  <c r="Q45" i="27"/>
  <c r="Q46" i="27" s="1"/>
  <c r="L33" i="17"/>
  <c r="L34" i="17"/>
  <c r="AF67" i="26"/>
  <c r="F6" i="17"/>
  <c r="E27" i="27"/>
  <c r="E67" i="26" s="1"/>
  <c r="M27" i="27"/>
  <c r="M67" i="26" s="1"/>
  <c r="J53" i="17"/>
  <c r="J54" i="17"/>
  <c r="F27" i="27"/>
  <c r="F67" i="26" s="1"/>
  <c r="J27" i="27"/>
  <c r="J67" i="26" s="1"/>
  <c r="N27" i="27"/>
  <c r="N67" i="26" s="1"/>
  <c r="G53" i="17"/>
  <c r="G54" i="17"/>
  <c r="K53" i="17"/>
  <c r="K54" i="17"/>
  <c r="O53" i="17"/>
  <c r="O54" i="17"/>
  <c r="R27" i="27"/>
  <c r="R67" i="26" s="1"/>
  <c r="V27" i="27"/>
  <c r="V67" i="26" s="1"/>
  <c r="Z27" i="27"/>
  <c r="Z67" i="26" s="1"/>
  <c r="F33" i="17"/>
  <c r="F34" i="17"/>
  <c r="J33" i="17"/>
  <c r="J34" i="17"/>
  <c r="N33" i="17"/>
  <c r="N34" i="17"/>
  <c r="AE27" i="27"/>
  <c r="AI27" i="27"/>
  <c r="AM27" i="27"/>
  <c r="D41" i="17"/>
  <c r="D42" i="17"/>
  <c r="I54" i="17"/>
  <c r="I53" i="17"/>
  <c r="H33" i="17"/>
  <c r="H34" i="17"/>
  <c r="D6" i="27"/>
  <c r="D53" i="26" s="1"/>
  <c r="D40" i="17"/>
  <c r="D39" i="17"/>
  <c r="D54" i="17"/>
  <c r="D53" i="17"/>
  <c r="H53" i="17"/>
  <c r="H54" i="17"/>
  <c r="L53" i="17"/>
  <c r="L54" i="17"/>
  <c r="G33" i="17"/>
  <c r="G34" i="17"/>
  <c r="K33" i="17"/>
  <c r="K34" i="17"/>
  <c r="O33" i="17"/>
  <c r="O34" i="17"/>
  <c r="AG27" i="27"/>
  <c r="G4" i="17"/>
  <c r="AK27" i="27"/>
  <c r="K4" i="17"/>
  <c r="AO27" i="27"/>
  <c r="O4" i="17"/>
  <c r="D21" i="27"/>
  <c r="D63" i="26" s="1"/>
  <c r="D15" i="27"/>
  <c r="D59" i="26" s="1"/>
  <c r="D9" i="27"/>
  <c r="D55" i="26" s="1"/>
  <c r="AI45" i="27"/>
  <c r="AI46" i="27" s="1"/>
  <c r="S45" i="27"/>
  <c r="S46" i="27" s="1"/>
  <c r="R45" i="27"/>
  <c r="R46" i="27" s="1"/>
  <c r="AG43" i="27"/>
  <c r="AG44" i="27" s="1"/>
  <c r="AF43" i="27"/>
  <c r="AF44" i="27" s="1"/>
  <c r="X43" i="27"/>
  <c r="X44" i="27" s="1"/>
  <c r="AL41" i="27"/>
  <c r="AL42" i="27" s="1"/>
  <c r="W41" i="27"/>
  <c r="W42" i="27" s="1"/>
  <c r="J41" i="27"/>
  <c r="J42" i="27" s="1"/>
  <c r="AO39" i="27"/>
  <c r="AO40" i="27" s="1"/>
  <c r="Y39" i="27"/>
  <c r="Y40" i="27" s="1"/>
  <c r="I39" i="27"/>
  <c r="I40" i="27" s="1"/>
  <c r="AN37" i="27"/>
  <c r="AN38" i="27" s="1"/>
  <c r="AF37" i="27"/>
  <c r="AF38" i="27" s="1"/>
  <c r="X37" i="27"/>
  <c r="X38" i="27" s="1"/>
  <c r="O35" i="27"/>
  <c r="O36" i="27" s="1"/>
  <c r="M33" i="27"/>
  <c r="M34" i="27" s="1"/>
  <c r="E33" i="27"/>
  <c r="E34" i="27" s="1"/>
  <c r="AN31" i="27"/>
  <c r="AN32" i="27" s="1"/>
  <c r="AF31" i="27"/>
  <c r="AF32" i="27" s="1"/>
  <c r="AA31" i="27"/>
  <c r="AA32" i="27" s="1"/>
  <c r="S31" i="27"/>
  <c r="S32" i="27" s="1"/>
  <c r="AL45" i="27"/>
  <c r="AL46" i="27" s="1"/>
  <c r="AK45" i="27"/>
  <c r="AK46" i="27" s="1"/>
  <c r="AH45" i="27"/>
  <c r="AH46" i="27" s="1"/>
  <c r="AG45" i="27"/>
  <c r="AG46" i="27" s="1"/>
  <c r="AA45" i="27"/>
  <c r="AA46" i="27" s="1"/>
  <c r="Z45" i="27"/>
  <c r="Z46" i="27" s="1"/>
  <c r="Y45" i="27"/>
  <c r="Y46" i="27" s="1"/>
  <c r="V45" i="27"/>
  <c r="V46" i="27" s="1"/>
  <c r="U45" i="27"/>
  <c r="U46" i="27" s="1"/>
  <c r="N45" i="27"/>
  <c r="N46" i="27" s="1"/>
  <c r="M45" i="27"/>
  <c r="M46" i="27" s="1"/>
  <c r="K45" i="27"/>
  <c r="K46" i="27" s="1"/>
  <c r="J45" i="27"/>
  <c r="J46" i="27" s="1"/>
  <c r="I45" i="27"/>
  <c r="I46" i="27" s="1"/>
  <c r="F45" i="27"/>
  <c r="F46" i="27" s="1"/>
  <c r="E45" i="27"/>
  <c r="E46" i="27" s="1"/>
  <c r="D27" i="27"/>
  <c r="D67" i="26" s="1"/>
  <c r="AO43" i="27"/>
  <c r="AO44" i="27" s="1"/>
  <c r="AL43" i="27"/>
  <c r="AL44" i="27" s="1"/>
  <c r="AH43" i="27"/>
  <c r="AH44" i="27" s="1"/>
  <c r="Y43" i="27"/>
  <c r="Y44" i="27" s="1"/>
  <c r="U43" i="27"/>
  <c r="U44" i="27" s="1"/>
  <c r="AM41" i="27"/>
  <c r="AM42" i="27" s="1"/>
  <c r="AI41" i="27"/>
  <c r="AI42" i="27" s="1"/>
  <c r="AE41" i="27"/>
  <c r="AE42" i="27" s="1"/>
  <c r="Z41" i="27"/>
  <c r="Z42" i="27" s="1"/>
  <c r="V41" i="27"/>
  <c r="V42" i="27" s="1"/>
  <c r="R41" i="27"/>
  <c r="R42" i="27" s="1"/>
  <c r="M41" i="27"/>
  <c r="M42" i="27" s="1"/>
  <c r="I41" i="27"/>
  <c r="I42" i="27" s="1"/>
  <c r="E41" i="27"/>
  <c r="E42" i="27" s="1"/>
  <c r="AN39" i="27"/>
  <c r="AN40" i="27" s="1"/>
  <c r="AJ39" i="27"/>
  <c r="AJ40" i="27" s="1"/>
  <c r="AF39" i="27"/>
  <c r="AF40" i="27" s="1"/>
  <c r="AA39" i="27"/>
  <c r="AA40" i="27" s="1"/>
  <c r="W39" i="27"/>
  <c r="W40" i="27" s="1"/>
  <c r="S39" i="27"/>
  <c r="S40" i="27" s="1"/>
  <c r="N39" i="27"/>
  <c r="N40" i="27" s="1"/>
  <c r="J39" i="27"/>
  <c r="J40" i="27" s="1"/>
  <c r="F39" i="27"/>
  <c r="F40" i="27" s="1"/>
  <c r="AO37" i="27"/>
  <c r="AO38" i="27" s="1"/>
  <c r="AL37" i="27"/>
  <c r="AL38" i="27" s="1"/>
  <c r="AK37" i="27"/>
  <c r="AK38" i="27" s="1"/>
  <c r="AJ37" i="27"/>
  <c r="AJ38" i="27" s="1"/>
  <c r="AG37" i="27"/>
  <c r="AG38" i="27" s="1"/>
  <c r="AB37" i="27"/>
  <c r="AB38" i="27" s="1"/>
  <c r="Y37" i="27"/>
  <c r="Y38" i="27" s="1"/>
  <c r="U37" i="27"/>
  <c r="U38" i="27" s="1"/>
  <c r="T37" i="27"/>
  <c r="T38" i="27" s="1"/>
  <c r="O37" i="27"/>
  <c r="O38" i="27" s="1"/>
  <c r="L37" i="27"/>
  <c r="L38" i="27" s="1"/>
  <c r="K37" i="27"/>
  <c r="K38" i="27" s="1"/>
  <c r="H37" i="27"/>
  <c r="H38" i="27" s="1"/>
  <c r="G37" i="27"/>
  <c r="G38" i="27" s="1"/>
  <c r="D37" i="27"/>
  <c r="D38" i="27" s="1"/>
  <c r="AL35" i="27"/>
  <c r="AL36" i="27" s="1"/>
  <c r="AI35" i="27"/>
  <c r="AI36" i="27" s="1"/>
  <c r="V35" i="27"/>
  <c r="V36" i="27" s="1"/>
  <c r="W35" i="27"/>
  <c r="W36" i="27" s="1"/>
  <c r="G35" i="27"/>
  <c r="G36" i="27" s="1"/>
  <c r="AN33" i="27"/>
  <c r="AN34" i="27" s="1"/>
  <c r="AJ33" i="27"/>
  <c r="AJ34" i="27" s="1"/>
  <c r="AF33" i="27"/>
  <c r="AF34" i="27" s="1"/>
  <c r="I33" i="27"/>
  <c r="I34" i="27" s="1"/>
  <c r="AM31" i="27"/>
  <c r="AM32" i="27" s="1"/>
  <c r="AK31" i="27"/>
  <c r="AK32" i="27" s="1"/>
  <c r="AJ31" i="27"/>
  <c r="AJ32" i="27" s="1"/>
  <c r="AG31" i="27"/>
  <c r="AG32" i="27" s="1"/>
  <c r="AE31" i="27"/>
  <c r="AE32" i="27" s="1"/>
  <c r="W31" i="27"/>
  <c r="W32" i="27" s="1"/>
  <c r="K6" i="20"/>
  <c r="K7" i="20" s="1"/>
  <c r="K3" i="20"/>
  <c r="K4" i="20" s="1"/>
  <c r="S33" i="20"/>
  <c r="K39" i="20" s="1"/>
  <c r="T33" i="20"/>
  <c r="U33" i="20"/>
  <c r="S36" i="20"/>
  <c r="K40" i="20" s="1"/>
  <c r="T36" i="20"/>
  <c r="U36" i="20"/>
  <c r="R36" i="20"/>
  <c r="R33" i="20"/>
  <c r="AC26" i="26"/>
  <c r="AC25" i="26"/>
  <c r="AC24" i="26"/>
  <c r="AC21" i="26"/>
  <c r="AC18" i="26"/>
  <c r="AC15" i="26"/>
  <c r="AC12" i="26"/>
  <c r="AC9" i="26"/>
  <c r="AC6" i="26"/>
  <c r="P26" i="26"/>
  <c r="P25" i="26"/>
  <c r="P24" i="26"/>
  <c r="P21" i="26"/>
  <c r="P18" i="26"/>
  <c r="P15" i="26"/>
  <c r="P12" i="26"/>
  <c r="P9" i="26"/>
  <c r="P6" i="26"/>
  <c r="S9" i="20" l="1"/>
  <c r="V3" i="20"/>
  <c r="AL67" i="26"/>
  <c r="L6" i="17"/>
  <c r="AO67" i="26"/>
  <c r="O6" i="17"/>
  <c r="AG67" i="26"/>
  <c r="G6" i="17"/>
  <c r="AI67" i="26"/>
  <c r="I6" i="17"/>
  <c r="AH67" i="26"/>
  <c r="H6" i="17"/>
  <c r="AE67" i="26"/>
  <c r="E6" i="17"/>
  <c r="AM67" i="26"/>
  <c r="M6" i="17"/>
  <c r="AK67" i="26"/>
  <c r="K6" i="17"/>
  <c r="P66" i="26"/>
  <c r="P27" i="26"/>
  <c r="AC66" i="26"/>
  <c r="X33" i="27"/>
  <c r="X34" i="27" s="1"/>
  <c r="AK33" i="27"/>
  <c r="AK34" i="27" s="1"/>
  <c r="G31" i="27"/>
  <c r="G32" i="27" s="1"/>
  <c r="O31" i="27"/>
  <c r="O32" i="27" s="1"/>
  <c r="AO31" i="27"/>
  <c r="AO32" i="27" s="1"/>
  <c r="J35" i="27"/>
  <c r="J36" i="27" s="1"/>
  <c r="F35" i="27"/>
  <c r="F36" i="27" s="1"/>
  <c r="S35" i="27"/>
  <c r="S36" i="27" s="1"/>
  <c r="K31" i="27"/>
  <c r="K32" i="27" s="1"/>
  <c r="D31" i="27"/>
  <c r="D32" i="27" s="1"/>
  <c r="L31" i="27"/>
  <c r="L32" i="27" s="1"/>
  <c r="E37" i="27"/>
  <c r="E38" i="27" s="1"/>
  <c r="M37" i="27"/>
  <c r="M38" i="27" s="1"/>
  <c r="AH37" i="27"/>
  <c r="AH38" i="27" s="1"/>
  <c r="D43" i="27"/>
  <c r="D44" i="27" s="1"/>
  <c r="H43" i="27"/>
  <c r="H44" i="27" s="1"/>
  <c r="L43" i="27"/>
  <c r="L44" i="27" s="1"/>
  <c r="AO45" i="27"/>
  <c r="AO46" i="27" s="1"/>
  <c r="T31" i="27"/>
  <c r="T32" i="27" s="1"/>
  <c r="X31" i="27"/>
  <c r="X32" i="27" s="1"/>
  <c r="AB31" i="27"/>
  <c r="AB32" i="27" s="1"/>
  <c r="N35" i="27"/>
  <c r="N36" i="27" s="1"/>
  <c r="AA35" i="27"/>
  <c r="AA36" i="27" s="1"/>
  <c r="H31" i="27"/>
  <c r="H32" i="27" s="1"/>
  <c r="F33" i="27"/>
  <c r="F34" i="27" s="1"/>
  <c r="J33" i="27"/>
  <c r="J34" i="27" s="1"/>
  <c r="N33" i="27"/>
  <c r="N34" i="27" s="1"/>
  <c r="S33" i="27"/>
  <c r="S34" i="27" s="1"/>
  <c r="W33" i="27"/>
  <c r="W34" i="27" s="1"/>
  <c r="AA33" i="27"/>
  <c r="AA34" i="27" s="1"/>
  <c r="U31" i="27"/>
  <c r="U32" i="27" s="1"/>
  <c r="AH31" i="27"/>
  <c r="AH32" i="27" s="1"/>
  <c r="K33" i="27"/>
  <c r="K34" i="27" s="1"/>
  <c r="T33" i="27"/>
  <c r="T34" i="27" s="1"/>
  <c r="AG33" i="27"/>
  <c r="AG34" i="27" s="1"/>
  <c r="E43" i="27"/>
  <c r="E44" i="27" s="1"/>
  <c r="M43" i="27"/>
  <c r="M44" i="27" s="1"/>
  <c r="V43" i="27"/>
  <c r="V44" i="27" s="1"/>
  <c r="AE43" i="27"/>
  <c r="AE44" i="27" s="1"/>
  <c r="AI43" i="27"/>
  <c r="AI44" i="27" s="1"/>
  <c r="AI31" i="27"/>
  <c r="AI32" i="27" s="1"/>
  <c r="E31" i="27"/>
  <c r="E32" i="27" s="1"/>
  <c r="I31" i="27"/>
  <c r="I32" i="27" s="1"/>
  <c r="M31" i="27"/>
  <c r="M32" i="27" s="1"/>
  <c r="R31" i="27"/>
  <c r="R32" i="27" s="1"/>
  <c r="V31" i="27"/>
  <c r="V32" i="27" s="1"/>
  <c r="Z31" i="27"/>
  <c r="Z32" i="27" s="1"/>
  <c r="D33" i="27"/>
  <c r="D34" i="27" s="1"/>
  <c r="H33" i="27"/>
  <c r="H34" i="27" s="1"/>
  <c r="L33" i="27"/>
  <c r="L34" i="27" s="1"/>
  <c r="U33" i="27"/>
  <c r="U34" i="27" s="1"/>
  <c r="Y33" i="27"/>
  <c r="Y34" i="27" s="1"/>
  <c r="AH33" i="27"/>
  <c r="AH34" i="27" s="1"/>
  <c r="AL33" i="27"/>
  <c r="AL34" i="27" s="1"/>
  <c r="D35" i="27"/>
  <c r="D36" i="27" s="1"/>
  <c r="H35" i="27"/>
  <c r="H36" i="27" s="1"/>
  <c r="L35" i="27"/>
  <c r="L36" i="27" s="1"/>
  <c r="U35" i="27"/>
  <c r="U36" i="27" s="1"/>
  <c r="Y35" i="27"/>
  <c r="Y36" i="27" s="1"/>
  <c r="AH35" i="27"/>
  <c r="AH36" i="27" s="1"/>
  <c r="G39" i="27"/>
  <c r="G40" i="27" s="1"/>
  <c r="K39" i="27"/>
  <c r="K40" i="27" s="1"/>
  <c r="O39" i="27"/>
  <c r="O40" i="27" s="1"/>
  <c r="T39" i="27"/>
  <c r="T40" i="27" s="1"/>
  <c r="X39" i="27"/>
  <c r="X40" i="27" s="1"/>
  <c r="AB39" i="27"/>
  <c r="AB40" i="27" s="1"/>
  <c r="AG39" i="27"/>
  <c r="AG40" i="27" s="1"/>
  <c r="AK39" i="27"/>
  <c r="AK40" i="27" s="1"/>
  <c r="F41" i="27"/>
  <c r="F42" i="27" s="1"/>
  <c r="N41" i="27"/>
  <c r="N42" i="27" s="1"/>
  <c r="S41" i="27"/>
  <c r="S42" i="27" s="1"/>
  <c r="AA41" i="27"/>
  <c r="AA42" i="27" s="1"/>
  <c r="AF41" i="27"/>
  <c r="AF42" i="27" s="1"/>
  <c r="AJ41" i="27"/>
  <c r="AJ42" i="27" s="1"/>
  <c r="AN41" i="27"/>
  <c r="AN42" i="27" s="1"/>
  <c r="AN43" i="27"/>
  <c r="AN44" i="27" s="1"/>
  <c r="K41" i="27"/>
  <c r="K42" i="27" s="1"/>
  <c r="Y31" i="27"/>
  <c r="Y32" i="27" s="1"/>
  <c r="AL31" i="27"/>
  <c r="AL32" i="27" s="1"/>
  <c r="G33" i="27"/>
  <c r="G34" i="27" s="1"/>
  <c r="O33" i="27"/>
  <c r="O34" i="27" s="1"/>
  <c r="AB33" i="27"/>
  <c r="AB34" i="27" s="1"/>
  <c r="AO33" i="27"/>
  <c r="AO34" i="27" s="1"/>
  <c r="K35" i="27"/>
  <c r="K36" i="27" s="1"/>
  <c r="I37" i="27"/>
  <c r="I38" i="27" s="1"/>
  <c r="I43" i="27"/>
  <c r="I44" i="27" s="1"/>
  <c r="R43" i="27"/>
  <c r="R44" i="27" s="1"/>
  <c r="Z43" i="27"/>
  <c r="Z44" i="27" s="1"/>
  <c r="AM43" i="27"/>
  <c r="AM44" i="27" s="1"/>
  <c r="F31" i="27"/>
  <c r="F32" i="27" s="1"/>
  <c r="J31" i="27"/>
  <c r="J32" i="27" s="1"/>
  <c r="N31" i="27"/>
  <c r="N32" i="27" s="1"/>
  <c r="R33" i="27"/>
  <c r="R34" i="27" s="1"/>
  <c r="V33" i="27"/>
  <c r="V34" i="27" s="1"/>
  <c r="Z33" i="27"/>
  <c r="Z34" i="27" s="1"/>
  <c r="AE33" i="27"/>
  <c r="AE34" i="27" s="1"/>
  <c r="AI33" i="27"/>
  <c r="AI34" i="27" s="1"/>
  <c r="AM33" i="27"/>
  <c r="AM34" i="27" s="1"/>
  <c r="E35" i="27"/>
  <c r="E36" i="27" s="1"/>
  <c r="I35" i="27"/>
  <c r="I36" i="27" s="1"/>
  <c r="M35" i="27"/>
  <c r="M36" i="27" s="1"/>
  <c r="R35" i="27"/>
  <c r="R36" i="27" s="1"/>
  <c r="Z35" i="27"/>
  <c r="Z36" i="27" s="1"/>
  <c r="AE35" i="27"/>
  <c r="AE36" i="27" s="1"/>
  <c r="AM35" i="27"/>
  <c r="AM36" i="27" s="1"/>
  <c r="H39" i="27"/>
  <c r="H40" i="27" s="1"/>
  <c r="AF35" i="27"/>
  <c r="AF36" i="27" s="1"/>
  <c r="AJ35" i="27"/>
  <c r="AJ36" i="27" s="1"/>
  <c r="AN35" i="27"/>
  <c r="AN36" i="27" s="1"/>
  <c r="R37" i="27"/>
  <c r="R38" i="27" s="1"/>
  <c r="V37" i="27"/>
  <c r="V38" i="27" s="1"/>
  <c r="Z37" i="27"/>
  <c r="Z38" i="27" s="1"/>
  <c r="AE37" i="27"/>
  <c r="AE38" i="27" s="1"/>
  <c r="AI37" i="27"/>
  <c r="AI38" i="27" s="1"/>
  <c r="AM37" i="27"/>
  <c r="AM38" i="27" s="1"/>
  <c r="D39" i="27"/>
  <c r="D40" i="27" s="1"/>
  <c r="L39" i="27"/>
  <c r="L40" i="27" s="1"/>
  <c r="U39" i="27"/>
  <c r="U40" i="27" s="1"/>
  <c r="AH39" i="27"/>
  <c r="AH40" i="27" s="1"/>
  <c r="AL39" i="27"/>
  <c r="AL40" i="27" s="1"/>
  <c r="G41" i="27"/>
  <c r="G42" i="27" s="1"/>
  <c r="O41" i="27"/>
  <c r="O42" i="27" s="1"/>
  <c r="T41" i="27"/>
  <c r="T42" i="27" s="1"/>
  <c r="X41" i="27"/>
  <c r="X42" i="27" s="1"/>
  <c r="AB41" i="27"/>
  <c r="AB42" i="27" s="1"/>
  <c r="AG41" i="27"/>
  <c r="AG42" i="27" s="1"/>
  <c r="AK41" i="27"/>
  <c r="AK42" i="27" s="1"/>
  <c r="AO41" i="27"/>
  <c r="AO42" i="27" s="1"/>
  <c r="F43" i="27"/>
  <c r="F44" i="27" s="1"/>
  <c r="J43" i="27"/>
  <c r="J44" i="27" s="1"/>
  <c r="N43" i="27"/>
  <c r="N44" i="27" s="1"/>
  <c r="S43" i="27"/>
  <c r="S44" i="27" s="1"/>
  <c r="W43" i="27"/>
  <c r="W44" i="27" s="1"/>
  <c r="AA43" i="27"/>
  <c r="AA44" i="27" s="1"/>
  <c r="AJ43" i="27"/>
  <c r="AJ44" i="27" s="1"/>
  <c r="G45" i="27"/>
  <c r="G46" i="27" s="1"/>
  <c r="O45" i="27"/>
  <c r="O46" i="27" s="1"/>
  <c r="W45" i="27"/>
  <c r="W46" i="27" s="1"/>
  <c r="AE45" i="27"/>
  <c r="AE46" i="27" s="1"/>
  <c r="AM45" i="27"/>
  <c r="AM46" i="27" s="1"/>
  <c r="T35" i="27"/>
  <c r="T36" i="27" s="1"/>
  <c r="X35" i="27"/>
  <c r="X36" i="27" s="1"/>
  <c r="AB35" i="27"/>
  <c r="AB36" i="27" s="1"/>
  <c r="AG35" i="27"/>
  <c r="AG36" i="27" s="1"/>
  <c r="AK35" i="27"/>
  <c r="AK36" i="27" s="1"/>
  <c r="AO35" i="27"/>
  <c r="AO36" i="27" s="1"/>
  <c r="F37" i="27"/>
  <c r="F38" i="27" s="1"/>
  <c r="J37" i="27"/>
  <c r="J38" i="27" s="1"/>
  <c r="N37" i="27"/>
  <c r="N38" i="27" s="1"/>
  <c r="S37" i="27"/>
  <c r="S38" i="27" s="1"/>
  <c r="W37" i="27"/>
  <c r="W38" i="27" s="1"/>
  <c r="AA37" i="27"/>
  <c r="AA38" i="27" s="1"/>
  <c r="E39" i="27"/>
  <c r="E40" i="27" s="1"/>
  <c r="M39" i="27"/>
  <c r="M40" i="27" s="1"/>
  <c r="R39" i="27"/>
  <c r="R40" i="27" s="1"/>
  <c r="V39" i="27"/>
  <c r="V40" i="27" s="1"/>
  <c r="Z39" i="27"/>
  <c r="Z40" i="27" s="1"/>
  <c r="AE39" i="27"/>
  <c r="AE40" i="27" s="1"/>
  <c r="AI39" i="27"/>
  <c r="AI40" i="27" s="1"/>
  <c r="AM39" i="27"/>
  <c r="AM40" i="27" s="1"/>
  <c r="D41" i="27"/>
  <c r="D42" i="27" s="1"/>
  <c r="H41" i="27"/>
  <c r="H42" i="27" s="1"/>
  <c r="L41" i="27"/>
  <c r="L42" i="27" s="1"/>
  <c r="U41" i="27"/>
  <c r="U42" i="27" s="1"/>
  <c r="Y41" i="27"/>
  <c r="Y42" i="27" s="1"/>
  <c r="AH41" i="27"/>
  <c r="AH42" i="27" s="1"/>
  <c r="G43" i="27"/>
  <c r="G44" i="27" s="1"/>
  <c r="K43" i="27"/>
  <c r="K44" i="27" s="1"/>
  <c r="O43" i="27"/>
  <c r="O44" i="27" s="1"/>
  <c r="T43" i="27"/>
  <c r="T44" i="27" s="1"/>
  <c r="AB43" i="27"/>
  <c r="AB44" i="27" s="1"/>
  <c r="AK43" i="27"/>
  <c r="AK44" i="27" s="1"/>
  <c r="D45" i="27"/>
  <c r="D46" i="27" s="1"/>
  <c r="H45" i="27"/>
  <c r="H46" i="27" s="1"/>
  <c r="L45" i="27"/>
  <c r="L46" i="27" s="1"/>
  <c r="T45" i="27"/>
  <c r="T46" i="27" s="1"/>
  <c r="X45" i="27"/>
  <c r="X46" i="27" s="1"/>
  <c r="AB45" i="27"/>
  <c r="AB46" i="27" s="1"/>
  <c r="AF45" i="27"/>
  <c r="AF46" i="27" s="1"/>
  <c r="AJ45" i="27"/>
  <c r="AJ46" i="27" s="1"/>
  <c r="AN45" i="27"/>
  <c r="AN46" i="27" s="1"/>
  <c r="AC27" i="26"/>
  <c r="AC31" i="26"/>
  <c r="AC33" i="26"/>
  <c r="AC35" i="26"/>
  <c r="AC37" i="26"/>
  <c r="AC39" i="26"/>
  <c r="AC41" i="26"/>
  <c r="AC43" i="26"/>
  <c r="AC45" i="26"/>
  <c r="P31" i="26"/>
  <c r="P33" i="26"/>
  <c r="P35" i="26"/>
  <c r="P37" i="26"/>
  <c r="P39" i="26"/>
  <c r="P41" i="26"/>
  <c r="P43" i="26"/>
  <c r="P45" i="26"/>
  <c r="Q68" i="17" l="1"/>
  <c r="Q70" i="17" s="1"/>
  <c r="V9" i="20"/>
  <c r="Q62" i="17" s="1"/>
  <c r="AC46" i="26"/>
  <c r="AC46" i="31" s="1"/>
  <c r="AC45" i="31"/>
  <c r="P44" i="26"/>
  <c r="P44" i="31" s="1"/>
  <c r="P24" i="31" s="1"/>
  <c r="P43" i="31"/>
  <c r="P23" i="31" s="1"/>
  <c r="P36" i="26"/>
  <c r="P36" i="31" s="1"/>
  <c r="P12" i="31" s="1"/>
  <c r="P57" i="31" s="1"/>
  <c r="P35" i="31"/>
  <c r="P11" i="31" s="1"/>
  <c r="P56" i="31" s="1"/>
  <c r="AC44" i="26"/>
  <c r="AC44" i="31" s="1"/>
  <c r="AC24" i="31" s="1"/>
  <c r="AC43" i="31"/>
  <c r="AC23" i="31" s="1"/>
  <c r="AC36" i="26"/>
  <c r="AC36" i="31" s="1"/>
  <c r="AC12" i="31" s="1"/>
  <c r="AC35" i="31"/>
  <c r="AC11" i="31" s="1"/>
  <c r="AC38" i="26"/>
  <c r="AC38" i="31" s="1"/>
  <c r="AC15" i="31" s="1"/>
  <c r="AC59" i="31" s="1"/>
  <c r="AC37" i="31"/>
  <c r="AC14" i="31" s="1"/>
  <c r="AC58" i="31" s="1"/>
  <c r="P34" i="26"/>
  <c r="P34" i="31" s="1"/>
  <c r="P9" i="31" s="1"/>
  <c r="P55" i="31" s="1"/>
  <c r="P33" i="31"/>
  <c r="P8" i="31" s="1"/>
  <c r="P54" i="31" s="1"/>
  <c r="AC42" i="26"/>
  <c r="AC42" i="31" s="1"/>
  <c r="AC21" i="31" s="1"/>
  <c r="AC63" i="31" s="1"/>
  <c r="AC41" i="31"/>
  <c r="AC20" i="31" s="1"/>
  <c r="AC62" i="31" s="1"/>
  <c r="AC34" i="26"/>
  <c r="AC34" i="31" s="1"/>
  <c r="AC9" i="31" s="1"/>
  <c r="AC33" i="31"/>
  <c r="AC8" i="31" s="1"/>
  <c r="P46" i="26"/>
  <c r="P46" i="31" s="1"/>
  <c r="P45" i="31"/>
  <c r="P38" i="26"/>
  <c r="P38" i="31" s="1"/>
  <c r="P15" i="31" s="1"/>
  <c r="P59" i="31" s="1"/>
  <c r="P37" i="31"/>
  <c r="P14" i="31" s="1"/>
  <c r="P58" i="31" s="1"/>
  <c r="P103" i="17" s="1"/>
  <c r="P42" i="26"/>
  <c r="P42" i="31" s="1"/>
  <c r="P21" i="31" s="1"/>
  <c r="P63" i="31" s="1"/>
  <c r="P41" i="31"/>
  <c r="P20" i="31" s="1"/>
  <c r="P62" i="31" s="1"/>
  <c r="P107" i="17" s="1"/>
  <c r="P40" i="26"/>
  <c r="P40" i="31" s="1"/>
  <c r="P18" i="31" s="1"/>
  <c r="P61" i="31" s="1"/>
  <c r="P39" i="31"/>
  <c r="P17" i="31" s="1"/>
  <c r="P60" i="31" s="1"/>
  <c r="P105" i="17" s="1"/>
  <c r="P32" i="26"/>
  <c r="P32" i="31" s="1"/>
  <c r="P6" i="31" s="1"/>
  <c r="P53" i="31" s="1"/>
  <c r="P31" i="31"/>
  <c r="P5" i="31" s="1"/>
  <c r="P52" i="31" s="1"/>
  <c r="AC40" i="26"/>
  <c r="AC40" i="31" s="1"/>
  <c r="AC18" i="31" s="1"/>
  <c r="AC61" i="31" s="1"/>
  <c r="AP61" i="31" s="1"/>
  <c r="AC39" i="31"/>
  <c r="AC17" i="31" s="1"/>
  <c r="AC32" i="26"/>
  <c r="AC32" i="31" s="1"/>
  <c r="AC6" i="31" s="1"/>
  <c r="AC53" i="31" s="1"/>
  <c r="AC31" i="31"/>
  <c r="AC5" i="31" s="1"/>
  <c r="AC52" i="31" s="1"/>
  <c r="P99" i="17" l="1"/>
  <c r="P97" i="17"/>
  <c r="P101" i="17"/>
  <c r="AC64" i="31"/>
  <c r="AC26" i="31"/>
  <c r="AC66" i="31" s="1"/>
  <c r="AP53" i="31"/>
  <c r="AP63" i="31"/>
  <c r="AP59" i="31"/>
  <c r="AP24" i="31"/>
  <c r="AC27" i="31"/>
  <c r="AC65" i="31"/>
  <c r="P27" i="31"/>
  <c r="P65" i="31"/>
  <c r="P67" i="31" s="1"/>
  <c r="P83" i="17"/>
  <c r="AP58" i="31"/>
  <c r="AP17" i="31"/>
  <c r="AC60" i="31"/>
  <c r="AP8" i="31"/>
  <c r="AC54" i="31"/>
  <c r="AP11" i="31"/>
  <c r="AC56" i="31"/>
  <c r="AP52" i="31"/>
  <c r="P77" i="17"/>
  <c r="P87" i="17"/>
  <c r="AP62" i="31"/>
  <c r="P64" i="31"/>
  <c r="P26" i="31"/>
  <c r="P66" i="31" s="1"/>
  <c r="AP9" i="31"/>
  <c r="AC55" i="31"/>
  <c r="AP55" i="31" s="1"/>
  <c r="AP12" i="31"/>
  <c r="AC57" i="31"/>
  <c r="AP57" i="31" s="1"/>
  <c r="AP23" i="31"/>
  <c r="AP6" i="31"/>
  <c r="AP5" i="31"/>
  <c r="AP20" i="31"/>
  <c r="AP14" i="31"/>
  <c r="AP21" i="31"/>
  <c r="AP15" i="31"/>
  <c r="AP18" i="31"/>
  <c r="AO26" i="26"/>
  <c r="AO66" i="26" s="1"/>
  <c r="AN26" i="26"/>
  <c r="AN66" i="26" s="1"/>
  <c r="AM26" i="26"/>
  <c r="AM66" i="26" s="1"/>
  <c r="AL26" i="26"/>
  <c r="AL66" i="26" s="1"/>
  <c r="AK26" i="26"/>
  <c r="AK66" i="26" s="1"/>
  <c r="AJ26" i="26"/>
  <c r="AJ66" i="26" s="1"/>
  <c r="AI26" i="26"/>
  <c r="AI66" i="26" s="1"/>
  <c r="AH26" i="26"/>
  <c r="AH66" i="26" s="1"/>
  <c r="AG26" i="26"/>
  <c r="AG66" i="26" s="1"/>
  <c r="AF26" i="26"/>
  <c r="AF66" i="26" s="1"/>
  <c r="AE26" i="26"/>
  <c r="AE66" i="26" s="1"/>
  <c r="AD26" i="26"/>
  <c r="AD66" i="26" s="1"/>
  <c r="AB26" i="26"/>
  <c r="AA26" i="26"/>
  <c r="Z26" i="26"/>
  <c r="Y26" i="26"/>
  <c r="X26" i="26"/>
  <c r="W26" i="26"/>
  <c r="V26" i="26"/>
  <c r="U26" i="26"/>
  <c r="T26" i="26"/>
  <c r="S26" i="26"/>
  <c r="R26" i="26"/>
  <c r="Q26" i="26"/>
  <c r="O26" i="26"/>
  <c r="N26" i="26"/>
  <c r="M26" i="26"/>
  <c r="L26" i="26"/>
  <c r="K26" i="26"/>
  <c r="J26" i="26"/>
  <c r="I26" i="26"/>
  <c r="H26" i="26"/>
  <c r="G26" i="26"/>
  <c r="F26" i="26"/>
  <c r="E26" i="26"/>
  <c r="AO25" i="26"/>
  <c r="AN25" i="26"/>
  <c r="AM25" i="26"/>
  <c r="AM27" i="26" s="1"/>
  <c r="AL25" i="26"/>
  <c r="AK25" i="26"/>
  <c r="AK27" i="26" s="1"/>
  <c r="AJ25" i="26"/>
  <c r="AI25" i="26"/>
  <c r="AH25" i="26"/>
  <c r="AG25" i="26"/>
  <c r="AF25" i="26"/>
  <c r="AE25" i="26"/>
  <c r="AE27" i="26" s="1"/>
  <c r="AD25" i="26"/>
  <c r="AB25" i="26"/>
  <c r="AA25" i="26"/>
  <c r="Z25" i="26"/>
  <c r="Y25" i="26"/>
  <c r="X25" i="26"/>
  <c r="W25" i="26"/>
  <c r="V25" i="26"/>
  <c r="U25" i="26"/>
  <c r="T25" i="26"/>
  <c r="S25" i="26"/>
  <c r="R25" i="26"/>
  <c r="Q25" i="26"/>
  <c r="O25" i="26"/>
  <c r="N25" i="26"/>
  <c r="M25" i="26"/>
  <c r="L25" i="26"/>
  <c r="K25" i="26"/>
  <c r="J25" i="26"/>
  <c r="I25" i="26"/>
  <c r="H25" i="26"/>
  <c r="G25" i="26"/>
  <c r="F25" i="26"/>
  <c r="E25" i="26"/>
  <c r="AO23" i="26"/>
  <c r="AO64" i="26" s="1"/>
  <c r="AN23" i="26"/>
  <c r="AN64" i="26" s="1"/>
  <c r="AM23" i="26"/>
  <c r="AM64" i="26" s="1"/>
  <c r="AL23" i="26"/>
  <c r="AL64" i="26" s="1"/>
  <c r="AK23" i="26"/>
  <c r="AK64" i="26" s="1"/>
  <c r="AJ23" i="26"/>
  <c r="AJ64" i="26" s="1"/>
  <c r="AI23" i="26"/>
  <c r="AI64" i="26" s="1"/>
  <c r="AH23" i="26"/>
  <c r="AH64" i="26" s="1"/>
  <c r="AG23" i="26"/>
  <c r="AG64" i="26" s="1"/>
  <c r="AF23" i="26"/>
  <c r="AF64" i="26" s="1"/>
  <c r="AE23" i="26"/>
  <c r="AE64" i="26" s="1"/>
  <c r="AD23" i="26"/>
  <c r="AD64" i="26" s="1"/>
  <c r="AB23" i="26"/>
  <c r="AB64" i="26" s="1"/>
  <c r="AA23" i="26"/>
  <c r="Z23" i="26"/>
  <c r="Z64" i="26" s="1"/>
  <c r="Y23" i="26"/>
  <c r="Y64" i="26" s="1"/>
  <c r="X23" i="26"/>
  <c r="X64" i="26" s="1"/>
  <c r="W23" i="26"/>
  <c r="W64" i="26" s="1"/>
  <c r="V23" i="26"/>
  <c r="V64" i="26" s="1"/>
  <c r="U23" i="26"/>
  <c r="U64" i="26" s="1"/>
  <c r="T23" i="26"/>
  <c r="T64" i="26" s="1"/>
  <c r="S23" i="26"/>
  <c r="S64" i="26" s="1"/>
  <c r="R23" i="26"/>
  <c r="R64" i="26" s="1"/>
  <c r="Q23" i="26"/>
  <c r="Q64" i="26" s="1"/>
  <c r="O23" i="26"/>
  <c r="O64" i="26" s="1"/>
  <c r="N23" i="26"/>
  <c r="N64" i="26" s="1"/>
  <c r="M23" i="26"/>
  <c r="M64" i="26" s="1"/>
  <c r="L23" i="26"/>
  <c r="L64" i="26" s="1"/>
  <c r="K23" i="26"/>
  <c r="K64" i="26" s="1"/>
  <c r="J23" i="26"/>
  <c r="J64" i="26" s="1"/>
  <c r="I23" i="26"/>
  <c r="I64" i="26" s="1"/>
  <c r="H23" i="26"/>
  <c r="H64" i="26" s="1"/>
  <c r="G23" i="26"/>
  <c r="G64" i="26" s="1"/>
  <c r="F23" i="26"/>
  <c r="F64" i="26" s="1"/>
  <c r="E23" i="26"/>
  <c r="E64" i="26" s="1"/>
  <c r="AO22" i="26"/>
  <c r="AN22" i="26"/>
  <c r="AM22" i="26"/>
  <c r="AL22" i="26"/>
  <c r="AK22" i="26"/>
  <c r="AJ22" i="26"/>
  <c r="AI22" i="26"/>
  <c r="AH22" i="26"/>
  <c r="AG22" i="26"/>
  <c r="AF22" i="26"/>
  <c r="AE22" i="26"/>
  <c r="AD22" i="26"/>
  <c r="AB22" i="26"/>
  <c r="AA22" i="26"/>
  <c r="Z22" i="26"/>
  <c r="Y22" i="26"/>
  <c r="X22" i="26"/>
  <c r="W22" i="26"/>
  <c r="V22" i="26"/>
  <c r="U22" i="26"/>
  <c r="T22" i="26"/>
  <c r="S22" i="26"/>
  <c r="R22" i="26"/>
  <c r="Q22" i="26"/>
  <c r="O22" i="26"/>
  <c r="N22" i="26"/>
  <c r="M22" i="26"/>
  <c r="L22" i="26"/>
  <c r="K22" i="26"/>
  <c r="J22" i="26"/>
  <c r="I22" i="26"/>
  <c r="H22" i="26"/>
  <c r="G22" i="26"/>
  <c r="F22" i="26"/>
  <c r="E22" i="26"/>
  <c r="AO20" i="26"/>
  <c r="AO62" i="26" s="1"/>
  <c r="AN20" i="26"/>
  <c r="AM20" i="26"/>
  <c r="AM62" i="26" s="1"/>
  <c r="AL20" i="26"/>
  <c r="AL62" i="26" s="1"/>
  <c r="AK20" i="26"/>
  <c r="AK62" i="26" s="1"/>
  <c r="AJ20" i="26"/>
  <c r="AJ62" i="26" s="1"/>
  <c r="AI20" i="26"/>
  <c r="AI62" i="26" s="1"/>
  <c r="AH20" i="26"/>
  <c r="AH62" i="26" s="1"/>
  <c r="AG20" i="26"/>
  <c r="AG62" i="26" s="1"/>
  <c r="AF20" i="26"/>
  <c r="AF62" i="26" s="1"/>
  <c r="AE20" i="26"/>
  <c r="AE62" i="26" s="1"/>
  <c r="AD20" i="26"/>
  <c r="AD62" i="26" s="1"/>
  <c r="AB20" i="26"/>
  <c r="AB62" i="26" s="1"/>
  <c r="AA20" i="26"/>
  <c r="AA62" i="26" s="1"/>
  <c r="Z20" i="26"/>
  <c r="Z62" i="26" s="1"/>
  <c r="Y20" i="26"/>
  <c r="Y62" i="26" s="1"/>
  <c r="X20" i="26"/>
  <c r="X62" i="26" s="1"/>
  <c r="W20" i="26"/>
  <c r="V20" i="26"/>
  <c r="V62" i="26" s="1"/>
  <c r="U20" i="26"/>
  <c r="U62" i="26" s="1"/>
  <c r="T20" i="26"/>
  <c r="T62" i="26" s="1"/>
  <c r="S20" i="26"/>
  <c r="S62" i="26" s="1"/>
  <c r="R20" i="26"/>
  <c r="R62" i="26" s="1"/>
  <c r="Q20" i="26"/>
  <c r="Q62" i="26" s="1"/>
  <c r="O20" i="26"/>
  <c r="O62" i="26" s="1"/>
  <c r="N20" i="26"/>
  <c r="N62" i="26" s="1"/>
  <c r="M20" i="26"/>
  <c r="M62" i="26" s="1"/>
  <c r="L20" i="26"/>
  <c r="L62" i="26" s="1"/>
  <c r="K20" i="26"/>
  <c r="K62" i="26" s="1"/>
  <c r="J20" i="26"/>
  <c r="J62" i="26" s="1"/>
  <c r="I20" i="26"/>
  <c r="I62" i="26" s="1"/>
  <c r="H20" i="26"/>
  <c r="H62" i="26" s="1"/>
  <c r="G20" i="26"/>
  <c r="G62" i="26" s="1"/>
  <c r="F20" i="26"/>
  <c r="F62" i="26" s="1"/>
  <c r="E20" i="26"/>
  <c r="E62" i="26" s="1"/>
  <c r="AO19" i="26"/>
  <c r="AO21" i="26" s="1"/>
  <c r="AP21" i="26" s="1"/>
  <c r="AN19" i="26"/>
  <c r="AN21" i="26" s="1"/>
  <c r="AM19" i="26"/>
  <c r="AL19" i="26"/>
  <c r="AK19" i="26"/>
  <c r="AJ19" i="26"/>
  <c r="AJ21" i="26" s="1"/>
  <c r="AI19" i="26"/>
  <c r="AH19" i="26"/>
  <c r="AG19" i="26"/>
  <c r="AF19" i="26"/>
  <c r="AF21" i="26" s="1"/>
  <c r="AE19" i="26"/>
  <c r="AD19" i="26"/>
  <c r="AB19" i="26"/>
  <c r="AA19" i="26"/>
  <c r="AA21" i="26" s="1"/>
  <c r="Z19" i="26"/>
  <c r="Y19" i="26"/>
  <c r="X19" i="26"/>
  <c r="W19" i="26"/>
  <c r="W21" i="26" s="1"/>
  <c r="V19" i="26"/>
  <c r="U19" i="26"/>
  <c r="T19" i="26"/>
  <c r="S19" i="26"/>
  <c r="S21" i="26" s="1"/>
  <c r="R19" i="26"/>
  <c r="Q19" i="26"/>
  <c r="O19" i="26"/>
  <c r="N19" i="26"/>
  <c r="N21" i="26" s="1"/>
  <c r="M19" i="26"/>
  <c r="L19" i="26"/>
  <c r="K19" i="26"/>
  <c r="J19" i="26"/>
  <c r="J21" i="26" s="1"/>
  <c r="I19" i="26"/>
  <c r="H19" i="26"/>
  <c r="G19" i="26"/>
  <c r="F19" i="26"/>
  <c r="F21" i="26" s="1"/>
  <c r="E19" i="26"/>
  <c r="AO17" i="26"/>
  <c r="AO60" i="26" s="1"/>
  <c r="AN17" i="26"/>
  <c r="AN60" i="26" s="1"/>
  <c r="AM17" i="26"/>
  <c r="AL17" i="26"/>
  <c r="AL60" i="26" s="1"/>
  <c r="AK17" i="26"/>
  <c r="AK60" i="26" s="1"/>
  <c r="AJ17" i="26"/>
  <c r="AJ60" i="26" s="1"/>
  <c r="AI17" i="26"/>
  <c r="AH17" i="26"/>
  <c r="AH60" i="26" s="1"/>
  <c r="AG17" i="26"/>
  <c r="AG60" i="26" s="1"/>
  <c r="AF17" i="26"/>
  <c r="AF60" i="26" s="1"/>
  <c r="AE17" i="26"/>
  <c r="AD17" i="26"/>
  <c r="AD60" i="26" s="1"/>
  <c r="AB17" i="26"/>
  <c r="AB60" i="26" s="1"/>
  <c r="AA17" i="26"/>
  <c r="AA60" i="26" s="1"/>
  <c r="Z17" i="26"/>
  <c r="Y17" i="26"/>
  <c r="Y60" i="26" s="1"/>
  <c r="X17" i="26"/>
  <c r="X60" i="26" s="1"/>
  <c r="W17" i="26"/>
  <c r="W60" i="26" s="1"/>
  <c r="V17" i="26"/>
  <c r="U17" i="26"/>
  <c r="U60" i="26" s="1"/>
  <c r="T17" i="26"/>
  <c r="T60" i="26" s="1"/>
  <c r="S17" i="26"/>
  <c r="S60" i="26" s="1"/>
  <c r="R17" i="26"/>
  <c r="Q17" i="26"/>
  <c r="Q60" i="26" s="1"/>
  <c r="O17" i="26"/>
  <c r="O60" i="26" s="1"/>
  <c r="N17" i="26"/>
  <c r="N60" i="26" s="1"/>
  <c r="M17" i="26"/>
  <c r="L17" i="26"/>
  <c r="L60" i="26" s="1"/>
  <c r="K17" i="26"/>
  <c r="K60" i="26" s="1"/>
  <c r="J17" i="26"/>
  <c r="J60" i="26" s="1"/>
  <c r="I17" i="26"/>
  <c r="H17" i="26"/>
  <c r="H60" i="26" s="1"/>
  <c r="G17" i="26"/>
  <c r="G60" i="26" s="1"/>
  <c r="F17" i="26"/>
  <c r="F60" i="26" s="1"/>
  <c r="E17" i="26"/>
  <c r="AO16" i="26"/>
  <c r="AN16" i="26"/>
  <c r="AM16" i="26"/>
  <c r="AL16" i="26"/>
  <c r="AL18" i="26" s="1"/>
  <c r="AK16" i="26"/>
  <c r="AJ16" i="26"/>
  <c r="AI16" i="26"/>
  <c r="AH16" i="26"/>
  <c r="AH18" i="26" s="1"/>
  <c r="AG16" i="26"/>
  <c r="AF16" i="26"/>
  <c r="AE16" i="26"/>
  <c r="AD16" i="26"/>
  <c r="AB16" i="26"/>
  <c r="AA16" i="26"/>
  <c r="Z16" i="26"/>
  <c r="Y16" i="26"/>
  <c r="X16" i="26"/>
  <c r="W16" i="26"/>
  <c r="V16" i="26"/>
  <c r="U16" i="26"/>
  <c r="U18" i="26" s="1"/>
  <c r="T16" i="26"/>
  <c r="S16" i="26"/>
  <c r="R16" i="26"/>
  <c r="Q16" i="26"/>
  <c r="Q18" i="26" s="1"/>
  <c r="O16" i="26"/>
  <c r="N16" i="26"/>
  <c r="M16" i="26"/>
  <c r="L16" i="26"/>
  <c r="L18" i="26" s="1"/>
  <c r="K16" i="26"/>
  <c r="J16" i="26"/>
  <c r="I16" i="26"/>
  <c r="H16" i="26"/>
  <c r="G16" i="26"/>
  <c r="F16" i="26"/>
  <c r="E16" i="26"/>
  <c r="AO14" i="26"/>
  <c r="AO58" i="26" s="1"/>
  <c r="AN14" i="26"/>
  <c r="AN58" i="26" s="1"/>
  <c r="AM14" i="26"/>
  <c r="AM58" i="26" s="1"/>
  <c r="AL14" i="26"/>
  <c r="AL58" i="26" s="1"/>
  <c r="AK14" i="26"/>
  <c r="AK58" i="26" s="1"/>
  <c r="AJ14" i="26"/>
  <c r="AJ58" i="26" s="1"/>
  <c r="AI14" i="26"/>
  <c r="AI58" i="26" s="1"/>
  <c r="AH14" i="26"/>
  <c r="AH58" i="26" s="1"/>
  <c r="AG14" i="26"/>
  <c r="AG58" i="26" s="1"/>
  <c r="AF14" i="26"/>
  <c r="AF58" i="26" s="1"/>
  <c r="AE14" i="26"/>
  <c r="AE58" i="26" s="1"/>
  <c r="AD14" i="26"/>
  <c r="AD58" i="26" s="1"/>
  <c r="AB14" i="26"/>
  <c r="AB58" i="26" s="1"/>
  <c r="AA14" i="26"/>
  <c r="AA58" i="26" s="1"/>
  <c r="Z14" i="26"/>
  <c r="Z58" i="26" s="1"/>
  <c r="Y14" i="26"/>
  <c r="Y58" i="26" s="1"/>
  <c r="X14" i="26"/>
  <c r="X58" i="26" s="1"/>
  <c r="W14" i="26"/>
  <c r="W58" i="26" s="1"/>
  <c r="V14" i="26"/>
  <c r="V58" i="26" s="1"/>
  <c r="U14" i="26"/>
  <c r="U58" i="26" s="1"/>
  <c r="T14" i="26"/>
  <c r="T58" i="26" s="1"/>
  <c r="S14" i="26"/>
  <c r="S58" i="26" s="1"/>
  <c r="R14" i="26"/>
  <c r="R58" i="26" s="1"/>
  <c r="Q14" i="26"/>
  <c r="Q58" i="26" s="1"/>
  <c r="O14" i="26"/>
  <c r="O58" i="26" s="1"/>
  <c r="N14" i="26"/>
  <c r="N58" i="26" s="1"/>
  <c r="M14" i="26"/>
  <c r="M58" i="26" s="1"/>
  <c r="L14" i="26"/>
  <c r="L58" i="26" s="1"/>
  <c r="K14" i="26"/>
  <c r="K58" i="26" s="1"/>
  <c r="J14" i="26"/>
  <c r="J58" i="26" s="1"/>
  <c r="I14" i="26"/>
  <c r="I58" i="26" s="1"/>
  <c r="H14" i="26"/>
  <c r="H58" i="26" s="1"/>
  <c r="G14" i="26"/>
  <c r="G58" i="26" s="1"/>
  <c r="F14" i="26"/>
  <c r="F58" i="26" s="1"/>
  <c r="E14" i="26"/>
  <c r="E58" i="26" s="1"/>
  <c r="AO13" i="26"/>
  <c r="AP13" i="26" s="1"/>
  <c r="AN13" i="26"/>
  <c r="AM13" i="26"/>
  <c r="AL13" i="26"/>
  <c r="AK13" i="26"/>
  <c r="AJ13" i="26"/>
  <c r="AI13" i="26"/>
  <c r="AI15" i="26" s="1"/>
  <c r="AH13" i="26"/>
  <c r="AG13" i="26"/>
  <c r="AF13" i="26"/>
  <c r="AE13" i="26"/>
  <c r="AD13" i="26"/>
  <c r="AB13" i="26"/>
  <c r="AA13" i="26"/>
  <c r="Z13" i="26"/>
  <c r="Y13" i="26"/>
  <c r="X13" i="26"/>
  <c r="W13" i="26"/>
  <c r="V13" i="26"/>
  <c r="U13" i="26"/>
  <c r="T13" i="26"/>
  <c r="S13" i="26"/>
  <c r="R13" i="26"/>
  <c r="R15" i="26" s="1"/>
  <c r="Q13" i="26"/>
  <c r="O13" i="26"/>
  <c r="N13" i="26"/>
  <c r="M13" i="26"/>
  <c r="L13" i="26"/>
  <c r="K13" i="26"/>
  <c r="J13" i="26"/>
  <c r="I13" i="26"/>
  <c r="H13" i="26"/>
  <c r="G13" i="26"/>
  <c r="F13" i="26"/>
  <c r="E13" i="26"/>
  <c r="AO11" i="26"/>
  <c r="AO56" i="26" s="1"/>
  <c r="AN11" i="26"/>
  <c r="AN56" i="26" s="1"/>
  <c r="AM11" i="26"/>
  <c r="AM56" i="26" s="1"/>
  <c r="AL11" i="26"/>
  <c r="AL56" i="26" s="1"/>
  <c r="AK11" i="26"/>
  <c r="AK56" i="26" s="1"/>
  <c r="AJ11" i="26"/>
  <c r="AJ56" i="26" s="1"/>
  <c r="AI11" i="26"/>
  <c r="AI56" i="26" s="1"/>
  <c r="AH11" i="26"/>
  <c r="AH56" i="26" s="1"/>
  <c r="AG11" i="26"/>
  <c r="AG56" i="26" s="1"/>
  <c r="AF11" i="26"/>
  <c r="AF56" i="26" s="1"/>
  <c r="AE11" i="26"/>
  <c r="AE56" i="26" s="1"/>
  <c r="AD11" i="26"/>
  <c r="AD56" i="26" s="1"/>
  <c r="AB11" i="26"/>
  <c r="AB56" i="26" s="1"/>
  <c r="AA11" i="26"/>
  <c r="AA56" i="26" s="1"/>
  <c r="Z11" i="26"/>
  <c r="Z56" i="26" s="1"/>
  <c r="Y11" i="26"/>
  <c r="Y56" i="26" s="1"/>
  <c r="X11" i="26"/>
  <c r="X56" i="26" s="1"/>
  <c r="W11" i="26"/>
  <c r="W56" i="26" s="1"/>
  <c r="V11" i="26"/>
  <c r="V56" i="26" s="1"/>
  <c r="U11" i="26"/>
  <c r="U56" i="26" s="1"/>
  <c r="T11" i="26"/>
  <c r="T56" i="26" s="1"/>
  <c r="S11" i="26"/>
  <c r="S56" i="26" s="1"/>
  <c r="R11" i="26"/>
  <c r="R56" i="26" s="1"/>
  <c r="Q11" i="26"/>
  <c r="Q56" i="26" s="1"/>
  <c r="O11" i="26"/>
  <c r="O56" i="26" s="1"/>
  <c r="N11" i="26"/>
  <c r="N56" i="26" s="1"/>
  <c r="M11" i="26"/>
  <c r="M56" i="26" s="1"/>
  <c r="L11" i="26"/>
  <c r="L56" i="26" s="1"/>
  <c r="K11" i="26"/>
  <c r="K56" i="26" s="1"/>
  <c r="J11" i="26"/>
  <c r="J56" i="26" s="1"/>
  <c r="I11" i="26"/>
  <c r="I56" i="26" s="1"/>
  <c r="H11" i="26"/>
  <c r="H56" i="26" s="1"/>
  <c r="G11" i="26"/>
  <c r="G56" i="26" s="1"/>
  <c r="F11" i="26"/>
  <c r="F56" i="26" s="1"/>
  <c r="E11" i="26"/>
  <c r="E56" i="26" s="1"/>
  <c r="AO10" i="26"/>
  <c r="AP10" i="26" s="1"/>
  <c r="AN10" i="26"/>
  <c r="AM10" i="26"/>
  <c r="AL10" i="26"/>
  <c r="AK10" i="26"/>
  <c r="AJ10" i="26"/>
  <c r="AI10" i="26"/>
  <c r="AI12" i="26" s="1"/>
  <c r="AH10" i="26"/>
  <c r="AG10" i="26"/>
  <c r="AF10" i="26"/>
  <c r="AE10" i="26"/>
  <c r="AD10" i="26"/>
  <c r="AB10" i="26"/>
  <c r="AA10" i="26"/>
  <c r="Z10" i="26"/>
  <c r="Z12" i="26" s="1"/>
  <c r="Y10" i="26"/>
  <c r="X10" i="26"/>
  <c r="W10" i="26"/>
  <c r="V10" i="26"/>
  <c r="U10" i="26"/>
  <c r="T10" i="26"/>
  <c r="S10" i="26"/>
  <c r="R10" i="26"/>
  <c r="R12" i="26" s="1"/>
  <c r="Q10" i="26"/>
  <c r="O10" i="26"/>
  <c r="N10" i="26"/>
  <c r="M10" i="26"/>
  <c r="L10" i="26"/>
  <c r="K10" i="26"/>
  <c r="J10" i="26"/>
  <c r="I10" i="26"/>
  <c r="I12" i="26" s="1"/>
  <c r="H10" i="26"/>
  <c r="G10" i="26"/>
  <c r="F10" i="26"/>
  <c r="E10" i="26"/>
  <c r="AO8" i="26"/>
  <c r="AO54" i="26" s="1"/>
  <c r="AN8" i="26"/>
  <c r="AN54" i="26" s="1"/>
  <c r="AM8" i="26"/>
  <c r="AM54" i="26" s="1"/>
  <c r="AL8" i="26"/>
  <c r="AL54" i="26" s="1"/>
  <c r="AK8" i="26"/>
  <c r="AK54" i="26" s="1"/>
  <c r="AJ8" i="26"/>
  <c r="AJ54" i="26" s="1"/>
  <c r="AI8" i="26"/>
  <c r="AI54" i="26" s="1"/>
  <c r="AH8" i="26"/>
  <c r="AH54" i="26" s="1"/>
  <c r="AG8" i="26"/>
  <c r="AG54" i="26" s="1"/>
  <c r="AF8" i="26"/>
  <c r="AF54" i="26" s="1"/>
  <c r="AE8" i="26"/>
  <c r="AE54" i="26" s="1"/>
  <c r="AD8" i="26"/>
  <c r="AD54" i="26" s="1"/>
  <c r="AB8" i="26"/>
  <c r="AB54" i="26" s="1"/>
  <c r="AA8" i="26"/>
  <c r="AA54" i="26" s="1"/>
  <c r="Z8" i="26"/>
  <c r="Z54" i="26" s="1"/>
  <c r="Y8" i="26"/>
  <c r="Y54" i="26" s="1"/>
  <c r="X8" i="26"/>
  <c r="X54" i="26" s="1"/>
  <c r="W8" i="26"/>
  <c r="W54" i="26" s="1"/>
  <c r="V8" i="26"/>
  <c r="V54" i="26" s="1"/>
  <c r="U8" i="26"/>
  <c r="U54" i="26" s="1"/>
  <c r="T8" i="26"/>
  <c r="T54" i="26" s="1"/>
  <c r="S8" i="26"/>
  <c r="S54" i="26" s="1"/>
  <c r="R8" i="26"/>
  <c r="R54" i="26" s="1"/>
  <c r="Q8" i="26"/>
  <c r="Q54" i="26" s="1"/>
  <c r="O8" i="26"/>
  <c r="O54" i="26" s="1"/>
  <c r="N8" i="26"/>
  <c r="N54" i="26" s="1"/>
  <c r="M8" i="26"/>
  <c r="M54" i="26" s="1"/>
  <c r="L8" i="26"/>
  <c r="L54" i="26" s="1"/>
  <c r="K8" i="26"/>
  <c r="K54" i="26" s="1"/>
  <c r="J8" i="26"/>
  <c r="J54" i="26" s="1"/>
  <c r="I8" i="26"/>
  <c r="I54" i="26" s="1"/>
  <c r="H8" i="26"/>
  <c r="H54" i="26" s="1"/>
  <c r="G8" i="26"/>
  <c r="G54" i="26" s="1"/>
  <c r="F8" i="26"/>
  <c r="F54" i="26" s="1"/>
  <c r="E8" i="26"/>
  <c r="E54" i="26" s="1"/>
  <c r="AO7" i="26"/>
  <c r="AO9" i="26" s="1"/>
  <c r="AP9" i="26" s="1"/>
  <c r="AN7" i="26"/>
  <c r="AM7" i="26"/>
  <c r="AL7" i="26"/>
  <c r="AK7" i="26"/>
  <c r="AJ7" i="26"/>
  <c r="AI7" i="26"/>
  <c r="AH7" i="26"/>
  <c r="AG7" i="26"/>
  <c r="AG9" i="26" s="1"/>
  <c r="AF7" i="26"/>
  <c r="AE7" i="26"/>
  <c r="AD7" i="26"/>
  <c r="AB7" i="26"/>
  <c r="AB9" i="26" s="1"/>
  <c r="AA7" i="26"/>
  <c r="Z7" i="26"/>
  <c r="Y7" i="26"/>
  <c r="X7" i="26"/>
  <c r="X9" i="26" s="1"/>
  <c r="W7" i="26"/>
  <c r="V7" i="26"/>
  <c r="U7" i="26"/>
  <c r="T7" i="26"/>
  <c r="S7" i="26"/>
  <c r="R7" i="26"/>
  <c r="Q7" i="26"/>
  <c r="O7" i="26"/>
  <c r="O9" i="26" s="1"/>
  <c r="N7" i="26"/>
  <c r="M7" i="26"/>
  <c r="L7" i="26"/>
  <c r="K7" i="26"/>
  <c r="K9" i="26" s="1"/>
  <c r="J7" i="26"/>
  <c r="I7" i="26"/>
  <c r="H7" i="26"/>
  <c r="G7" i="26"/>
  <c r="G9" i="26" s="1"/>
  <c r="F7" i="26"/>
  <c r="E7" i="26"/>
  <c r="AO5" i="26"/>
  <c r="AO52" i="26" s="1"/>
  <c r="AN5" i="26"/>
  <c r="AN52" i="26" s="1"/>
  <c r="AM5" i="26"/>
  <c r="AM52" i="26" s="1"/>
  <c r="AL5" i="26"/>
  <c r="AL52" i="26" s="1"/>
  <c r="AK5" i="26"/>
  <c r="AK52" i="26" s="1"/>
  <c r="AJ5" i="26"/>
  <c r="AJ52" i="26" s="1"/>
  <c r="AI5" i="26"/>
  <c r="AI52" i="26" s="1"/>
  <c r="AH5" i="26"/>
  <c r="AH52" i="26" s="1"/>
  <c r="AG5" i="26"/>
  <c r="AG52" i="26" s="1"/>
  <c r="AF5" i="26"/>
  <c r="AF52" i="26" s="1"/>
  <c r="AE5" i="26"/>
  <c r="AE52" i="26" s="1"/>
  <c r="AD5" i="26"/>
  <c r="AD52" i="26" s="1"/>
  <c r="AB5" i="26"/>
  <c r="AB52" i="26" s="1"/>
  <c r="AA5" i="26"/>
  <c r="AA52" i="26" s="1"/>
  <c r="Z5" i="26"/>
  <c r="Z52" i="26" s="1"/>
  <c r="Y5" i="26"/>
  <c r="Y52" i="26" s="1"/>
  <c r="X5" i="26"/>
  <c r="W5" i="26"/>
  <c r="V5" i="26"/>
  <c r="V52" i="26" s="1"/>
  <c r="U5" i="26"/>
  <c r="T5" i="26"/>
  <c r="S5" i="26"/>
  <c r="S52" i="26" s="1"/>
  <c r="R5" i="26"/>
  <c r="R52" i="26" s="1"/>
  <c r="Q5" i="26"/>
  <c r="Q52" i="26" s="1"/>
  <c r="O5" i="26"/>
  <c r="N5" i="26"/>
  <c r="N52" i="26" s="1"/>
  <c r="M5" i="26"/>
  <c r="M52" i="26" s="1"/>
  <c r="L5" i="26"/>
  <c r="L52" i="26" s="1"/>
  <c r="K5" i="26"/>
  <c r="J5" i="26"/>
  <c r="J52" i="26" s="1"/>
  <c r="I5" i="26"/>
  <c r="I52" i="26" s="1"/>
  <c r="H5" i="26"/>
  <c r="H52" i="26" s="1"/>
  <c r="G5" i="26"/>
  <c r="F5" i="26"/>
  <c r="F52" i="26" s="1"/>
  <c r="E5" i="26"/>
  <c r="E52" i="26" s="1"/>
  <c r="AO4" i="26"/>
  <c r="AP4" i="26" s="1"/>
  <c r="AN4" i="26"/>
  <c r="AM4" i="26"/>
  <c r="AL4" i="26"/>
  <c r="AK4" i="26"/>
  <c r="AJ4" i="26"/>
  <c r="AI4" i="26"/>
  <c r="AH4" i="26"/>
  <c r="AG4" i="26"/>
  <c r="AF4" i="26"/>
  <c r="AE4" i="26"/>
  <c r="AD4" i="26"/>
  <c r="AB4" i="26"/>
  <c r="AA4" i="26"/>
  <c r="Z4" i="26"/>
  <c r="Y4" i="26"/>
  <c r="X4" i="26"/>
  <c r="W4" i="26"/>
  <c r="V4" i="26"/>
  <c r="U4" i="26"/>
  <c r="T4" i="26"/>
  <c r="S4" i="26"/>
  <c r="R4" i="26"/>
  <c r="Q4" i="26"/>
  <c r="O4" i="26"/>
  <c r="N4" i="26"/>
  <c r="M4" i="26"/>
  <c r="L4" i="26"/>
  <c r="K4" i="26"/>
  <c r="J4" i="26"/>
  <c r="I4" i="26"/>
  <c r="H4" i="26"/>
  <c r="G4" i="26"/>
  <c r="F4" i="26"/>
  <c r="E4" i="26"/>
  <c r="E12" i="26" l="1"/>
  <c r="V12" i="26"/>
  <c r="AM12" i="26"/>
  <c r="AO27" i="26"/>
  <c r="AP27" i="26" s="1"/>
  <c r="P109" i="17"/>
  <c r="AP27" i="31"/>
  <c r="P11" i="17" s="1"/>
  <c r="T9" i="26"/>
  <c r="AK9" i="26"/>
  <c r="M12" i="26"/>
  <c r="AE12" i="26"/>
  <c r="AG27" i="26"/>
  <c r="AI27" i="26"/>
  <c r="AP26" i="31"/>
  <c r="P68" i="17"/>
  <c r="AP60" i="31"/>
  <c r="P85" i="17"/>
  <c r="W6" i="26"/>
  <c r="AA6" i="26"/>
  <c r="AF6" i="26"/>
  <c r="AJ6" i="26"/>
  <c r="AN6" i="26"/>
  <c r="F12" i="26"/>
  <c r="J12" i="26"/>
  <c r="S12" i="26"/>
  <c r="W12" i="26"/>
  <c r="AA12" i="26"/>
  <c r="AJ12" i="26"/>
  <c r="AN12" i="26"/>
  <c r="F18" i="26"/>
  <c r="J18" i="26"/>
  <c r="N18" i="26"/>
  <c r="S18" i="26"/>
  <c r="W18" i="26"/>
  <c r="AA18" i="26"/>
  <c r="AF18" i="26"/>
  <c r="AJ18" i="26"/>
  <c r="AN18" i="26"/>
  <c r="F24" i="26"/>
  <c r="J24" i="26"/>
  <c r="N24" i="26"/>
  <c r="S24" i="26"/>
  <c r="W24" i="26"/>
  <c r="AA24" i="26"/>
  <c r="AF24" i="26"/>
  <c r="AJ24" i="26"/>
  <c r="AN24" i="26"/>
  <c r="P81" i="17"/>
  <c r="AP56" i="31"/>
  <c r="AP66" i="31"/>
  <c r="P9" i="17" s="1"/>
  <c r="AP54" i="31"/>
  <c r="P79" i="17"/>
  <c r="AP64" i="31"/>
  <c r="P89" i="17"/>
  <c r="AC67" i="31"/>
  <c r="AP65" i="31"/>
  <c r="G66" i="26"/>
  <c r="K66" i="26"/>
  <c r="O66" i="26"/>
  <c r="T66" i="26"/>
  <c r="X66" i="26"/>
  <c r="AB66" i="26"/>
  <c r="AP19" i="26"/>
  <c r="G27" i="26"/>
  <c r="K27" i="26"/>
  <c r="O27" i="26"/>
  <c r="T27" i="26"/>
  <c r="X27" i="26"/>
  <c r="AB27" i="26"/>
  <c r="H66" i="26"/>
  <c r="L66" i="26"/>
  <c r="Q66" i="26"/>
  <c r="U66" i="26"/>
  <c r="Y66" i="26"/>
  <c r="F41" i="26"/>
  <c r="E66" i="26"/>
  <c r="I66" i="26"/>
  <c r="M66" i="26"/>
  <c r="R66" i="26"/>
  <c r="V66" i="26"/>
  <c r="Z66" i="26"/>
  <c r="AP7" i="26"/>
  <c r="E27" i="26"/>
  <c r="I27" i="26"/>
  <c r="M27" i="26"/>
  <c r="R27" i="26"/>
  <c r="V27" i="26"/>
  <c r="Z27" i="26"/>
  <c r="F66" i="26"/>
  <c r="J66" i="26"/>
  <c r="N66" i="26"/>
  <c r="S66" i="26"/>
  <c r="W66" i="26"/>
  <c r="AA66" i="26"/>
  <c r="AP11" i="26"/>
  <c r="AP56" i="26" s="1"/>
  <c r="F9" i="26"/>
  <c r="J9" i="26"/>
  <c r="N9" i="26"/>
  <c r="S9" i="26"/>
  <c r="W9" i="26"/>
  <c r="AA9" i="26"/>
  <c r="AF9" i="26"/>
  <c r="AJ9" i="26"/>
  <c r="AN9" i="26"/>
  <c r="H12" i="26"/>
  <c r="L12" i="26"/>
  <c r="Q12" i="26"/>
  <c r="U12" i="26"/>
  <c r="Y12" i="26"/>
  <c r="AD12" i="26"/>
  <c r="AH12" i="26"/>
  <c r="AL12" i="26"/>
  <c r="F15" i="26"/>
  <c r="J15" i="26"/>
  <c r="N15" i="26"/>
  <c r="S15" i="26"/>
  <c r="W15" i="26"/>
  <c r="AA15" i="26"/>
  <c r="AF15" i="26"/>
  <c r="AJ15" i="26"/>
  <c r="AN15" i="26"/>
  <c r="G18" i="26"/>
  <c r="K18" i="26"/>
  <c r="O18" i="26"/>
  <c r="T18" i="26"/>
  <c r="X18" i="26"/>
  <c r="AB18" i="26"/>
  <c r="AG18" i="26"/>
  <c r="AK18" i="26"/>
  <c r="AO18" i="26"/>
  <c r="AP18" i="26" s="1"/>
  <c r="E21" i="26"/>
  <c r="I21" i="26"/>
  <c r="M21" i="26"/>
  <c r="R21" i="26"/>
  <c r="V21" i="26"/>
  <c r="Z21" i="26"/>
  <c r="AE21" i="26"/>
  <c r="AI21" i="26"/>
  <c r="AM21" i="26"/>
  <c r="W41" i="26"/>
  <c r="W62" i="26"/>
  <c r="AN41" i="26"/>
  <c r="AN62" i="26"/>
  <c r="G24" i="26"/>
  <c r="K24" i="26"/>
  <c r="O24" i="26"/>
  <c r="T24" i="26"/>
  <c r="X24" i="26"/>
  <c r="AB24" i="26"/>
  <c r="AG24" i="26"/>
  <c r="AK24" i="26"/>
  <c r="AO24" i="26"/>
  <c r="AP24" i="26" s="1"/>
  <c r="AP8" i="26"/>
  <c r="AP16" i="26"/>
  <c r="AP20" i="26"/>
  <c r="U6" i="26"/>
  <c r="U52" i="26"/>
  <c r="AP35" i="26"/>
  <c r="W31" i="26"/>
  <c r="W32" i="26" s="1"/>
  <c r="W52" i="26"/>
  <c r="E39" i="26"/>
  <c r="E60" i="26"/>
  <c r="I39" i="26"/>
  <c r="I60" i="26"/>
  <c r="M39" i="26"/>
  <c r="M60" i="26"/>
  <c r="R39" i="26"/>
  <c r="R60" i="26"/>
  <c r="V39" i="26"/>
  <c r="V60" i="26"/>
  <c r="Z39" i="26"/>
  <c r="Z60" i="26"/>
  <c r="AE39" i="26"/>
  <c r="AE60" i="26"/>
  <c r="AI39" i="26"/>
  <c r="AI60" i="26"/>
  <c r="AM39" i="26"/>
  <c r="AM60" i="26"/>
  <c r="AP5" i="26"/>
  <c r="AP17" i="26"/>
  <c r="AP25" i="26"/>
  <c r="AP23" i="26"/>
  <c r="G31" i="26"/>
  <c r="G32" i="26" s="1"/>
  <c r="G52" i="26"/>
  <c r="K31" i="26"/>
  <c r="K52" i="26"/>
  <c r="O31" i="26"/>
  <c r="O32" i="26" s="1"/>
  <c r="O52" i="26"/>
  <c r="T31" i="26"/>
  <c r="T32" i="26" s="1"/>
  <c r="T52" i="26"/>
  <c r="X31" i="26"/>
  <c r="X32" i="26" s="1"/>
  <c r="X52" i="26"/>
  <c r="AA43" i="26"/>
  <c r="AA64" i="26"/>
  <c r="AP14" i="26"/>
  <c r="AP22" i="26"/>
  <c r="AP26" i="26"/>
  <c r="F6" i="26"/>
  <c r="N6" i="26"/>
  <c r="J6" i="26"/>
  <c r="S6" i="26"/>
  <c r="H6" i="26"/>
  <c r="L6" i="26"/>
  <c r="Q6" i="26"/>
  <c r="Y6" i="26"/>
  <c r="AD6" i="26"/>
  <c r="AH6" i="26"/>
  <c r="AL6" i="26"/>
  <c r="E31" i="26"/>
  <c r="E31" i="31" s="1"/>
  <c r="E5" i="31" s="1"/>
  <c r="E52" i="31" s="1"/>
  <c r="I31" i="26"/>
  <c r="M31" i="26"/>
  <c r="M32" i="26" s="1"/>
  <c r="R31" i="26"/>
  <c r="R31" i="31" s="1"/>
  <c r="R5" i="31" s="1"/>
  <c r="R52" i="31" s="1"/>
  <c r="V31" i="26"/>
  <c r="Z31" i="26"/>
  <c r="AB31" i="26"/>
  <c r="AG31" i="26"/>
  <c r="AG31" i="31" s="1"/>
  <c r="AK31" i="26"/>
  <c r="AK31" i="31" s="1"/>
  <c r="AO31" i="26"/>
  <c r="G33" i="26"/>
  <c r="G34" i="26" s="1"/>
  <c r="K33" i="26"/>
  <c r="F35" i="26"/>
  <c r="F35" i="31" s="1"/>
  <c r="F11" i="31" s="1"/>
  <c r="F56" i="31" s="1"/>
  <c r="J35" i="26"/>
  <c r="N35" i="26"/>
  <c r="N36" i="26" s="1"/>
  <c r="S35" i="26"/>
  <c r="S36" i="26" s="1"/>
  <c r="W35" i="26"/>
  <c r="AA35" i="26"/>
  <c r="AF35" i="26"/>
  <c r="AJ35" i="26"/>
  <c r="AN35" i="26"/>
  <c r="AN35" i="31" s="1"/>
  <c r="H37" i="26"/>
  <c r="L37" i="26"/>
  <c r="Q37" i="26"/>
  <c r="Q37" i="31" s="1"/>
  <c r="Q14" i="31" s="1"/>
  <c r="Q58" i="31" s="1"/>
  <c r="U37" i="26"/>
  <c r="Y37" i="26"/>
  <c r="AD37" i="26"/>
  <c r="AD37" i="31" s="1"/>
  <c r="AH37" i="26"/>
  <c r="AH37" i="31" s="1"/>
  <c r="AL37" i="26"/>
  <c r="AL37" i="31" s="1"/>
  <c r="H39" i="26"/>
  <c r="L39" i="26"/>
  <c r="Q39" i="26"/>
  <c r="U39" i="26"/>
  <c r="Y39" i="26"/>
  <c r="AD39" i="26"/>
  <c r="AH39" i="26"/>
  <c r="AL39" i="26"/>
  <c r="J41" i="26"/>
  <c r="N41" i="26"/>
  <c r="S41" i="26"/>
  <c r="AA41" i="26"/>
  <c r="AF41" i="26"/>
  <c r="AJ41" i="26"/>
  <c r="AE31" i="26"/>
  <c r="AE31" i="31" s="1"/>
  <c r="AI31" i="26"/>
  <c r="AI31" i="31" s="1"/>
  <c r="AM31" i="26"/>
  <c r="H9" i="26"/>
  <c r="L9" i="26"/>
  <c r="Q9" i="26"/>
  <c r="U9" i="26"/>
  <c r="Y9" i="26"/>
  <c r="AD9" i="26"/>
  <c r="AH9" i="26"/>
  <c r="AL9" i="26"/>
  <c r="E33" i="26"/>
  <c r="E33" i="31" s="1"/>
  <c r="E8" i="31" s="1"/>
  <c r="E54" i="31" s="1"/>
  <c r="I33" i="26"/>
  <c r="M33" i="26"/>
  <c r="R33" i="26"/>
  <c r="R33" i="31" s="1"/>
  <c r="R8" i="31" s="1"/>
  <c r="R54" i="31" s="1"/>
  <c r="V33" i="26"/>
  <c r="V33" i="31" s="1"/>
  <c r="V8" i="31" s="1"/>
  <c r="V54" i="31" s="1"/>
  <c r="Z33" i="26"/>
  <c r="AE33" i="26"/>
  <c r="AE33" i="31" s="1"/>
  <c r="AI33" i="26"/>
  <c r="AM33" i="26"/>
  <c r="AM33" i="31" s="1"/>
  <c r="G12" i="26"/>
  <c r="K12" i="26"/>
  <c r="O12" i="26"/>
  <c r="T12" i="26"/>
  <c r="X12" i="26"/>
  <c r="AB12" i="26"/>
  <c r="AG12" i="26"/>
  <c r="AK12" i="26"/>
  <c r="AO12" i="26"/>
  <c r="AP12" i="26" s="1"/>
  <c r="E15" i="26"/>
  <c r="I15" i="26"/>
  <c r="M15" i="26"/>
  <c r="V15" i="26"/>
  <c r="Z15" i="26"/>
  <c r="AE15" i="26"/>
  <c r="AM15" i="26"/>
  <c r="N37" i="26"/>
  <c r="N37" i="31" s="1"/>
  <c r="N14" i="31" s="1"/>
  <c r="N58" i="31" s="1"/>
  <c r="S39" i="26"/>
  <c r="AJ39" i="26"/>
  <c r="G21" i="26"/>
  <c r="K21" i="26"/>
  <c r="O21" i="26"/>
  <c r="T21" i="26"/>
  <c r="X21" i="26"/>
  <c r="AB21" i="26"/>
  <c r="AG21" i="26"/>
  <c r="AK21" i="26"/>
  <c r="H41" i="26"/>
  <c r="L41" i="26"/>
  <c r="Q41" i="26"/>
  <c r="U41" i="26"/>
  <c r="Y41" i="26"/>
  <c r="AD41" i="26"/>
  <c r="AH41" i="26"/>
  <c r="AL41" i="26"/>
  <c r="H24" i="26"/>
  <c r="L24" i="26"/>
  <c r="Q24" i="26"/>
  <c r="U24" i="26"/>
  <c r="Y24" i="26"/>
  <c r="AD24" i="26"/>
  <c r="AH24" i="26"/>
  <c r="AL24" i="26"/>
  <c r="E43" i="26"/>
  <c r="I43" i="26"/>
  <c r="M43" i="26"/>
  <c r="R43" i="26"/>
  <c r="V43" i="26"/>
  <c r="Z43" i="26"/>
  <c r="AE43" i="26"/>
  <c r="AI43" i="26"/>
  <c r="AM43" i="26"/>
  <c r="H27" i="26"/>
  <c r="L27" i="26"/>
  <c r="Q27" i="26"/>
  <c r="U27" i="26"/>
  <c r="Y27" i="26"/>
  <c r="AD27" i="26"/>
  <c r="AH27" i="26"/>
  <c r="AL27" i="26"/>
  <c r="F33" i="26"/>
  <c r="F33" i="31" s="1"/>
  <c r="F8" i="31" s="1"/>
  <c r="F54" i="31" s="1"/>
  <c r="W33" i="26"/>
  <c r="W34" i="26" s="1"/>
  <c r="AN33" i="26"/>
  <c r="G37" i="26"/>
  <c r="G38" i="26" s="1"/>
  <c r="G38" i="31" s="1"/>
  <c r="G15" i="31" s="1"/>
  <c r="K37" i="26"/>
  <c r="K38" i="26" s="1"/>
  <c r="K38" i="31" s="1"/>
  <c r="K15" i="31" s="1"/>
  <c r="O37" i="26"/>
  <c r="T37" i="26"/>
  <c r="X37" i="26"/>
  <c r="AB37" i="26"/>
  <c r="AB38" i="26" s="1"/>
  <c r="AB38" i="31" s="1"/>
  <c r="AB15" i="31" s="1"/>
  <c r="AG37" i="26"/>
  <c r="AK37" i="26"/>
  <c r="AK37" i="31" s="1"/>
  <c r="AO37" i="26"/>
  <c r="AO37" i="31" s="1"/>
  <c r="J43" i="26"/>
  <c r="F45" i="26"/>
  <c r="J45" i="26"/>
  <c r="N45" i="26"/>
  <c r="S45" i="26"/>
  <c r="W45" i="26"/>
  <c r="AA45" i="26"/>
  <c r="AF45" i="26"/>
  <c r="AJ45" i="26"/>
  <c r="AN45" i="26"/>
  <c r="K32" i="26"/>
  <c r="AB32" i="26"/>
  <c r="M34" i="26"/>
  <c r="W36" i="26"/>
  <c r="AF36" i="26"/>
  <c r="O38" i="26"/>
  <c r="O38" i="31" s="1"/>
  <c r="O15" i="31" s="1"/>
  <c r="AK38" i="26"/>
  <c r="AK38" i="31" s="1"/>
  <c r="Y18" i="26"/>
  <c r="E6" i="26"/>
  <c r="I6" i="26"/>
  <c r="M6" i="26"/>
  <c r="R6" i="26"/>
  <c r="V6" i="26"/>
  <c r="Z6" i="26"/>
  <c r="AE6" i="26"/>
  <c r="AI6" i="26"/>
  <c r="AM6" i="26"/>
  <c r="F31" i="26"/>
  <c r="F31" i="31" s="1"/>
  <c r="F5" i="31" s="1"/>
  <c r="F52" i="31" s="1"/>
  <c r="J31" i="26"/>
  <c r="N31" i="26"/>
  <c r="S31" i="26"/>
  <c r="AA31" i="26"/>
  <c r="AF31" i="26"/>
  <c r="AN31" i="26"/>
  <c r="AN31" i="31" s="1"/>
  <c r="H33" i="26"/>
  <c r="L33" i="26"/>
  <c r="Q33" i="26"/>
  <c r="Q33" i="31" s="1"/>
  <c r="Q8" i="31" s="1"/>
  <c r="Q54" i="31" s="1"/>
  <c r="U33" i="26"/>
  <c r="Y33" i="26"/>
  <c r="AD33" i="26"/>
  <c r="AD33" i="31" s="1"/>
  <c r="AH33" i="26"/>
  <c r="AH33" i="31" s="1"/>
  <c r="AL33" i="26"/>
  <c r="AL33" i="31" s="1"/>
  <c r="E35" i="26"/>
  <c r="E35" i="31" s="1"/>
  <c r="E11" i="31" s="1"/>
  <c r="E56" i="31" s="1"/>
  <c r="I35" i="26"/>
  <c r="M35" i="26"/>
  <c r="R35" i="26"/>
  <c r="R35" i="31" s="1"/>
  <c r="R11" i="31" s="1"/>
  <c r="R56" i="31" s="1"/>
  <c r="V35" i="26"/>
  <c r="Z35" i="26"/>
  <c r="AE35" i="26"/>
  <c r="AE35" i="31" s="1"/>
  <c r="AI35" i="26"/>
  <c r="AI35" i="31" s="1"/>
  <c r="AM35" i="26"/>
  <c r="AM35" i="31" s="1"/>
  <c r="F37" i="26"/>
  <c r="F37" i="31" s="1"/>
  <c r="F14" i="31" s="1"/>
  <c r="F58" i="31" s="1"/>
  <c r="J37" i="26"/>
  <c r="S37" i="26"/>
  <c r="W37" i="26"/>
  <c r="AA37" i="26"/>
  <c r="AJ37" i="26"/>
  <c r="AJ37" i="31" s="1"/>
  <c r="AN37" i="26"/>
  <c r="AN37" i="31" s="1"/>
  <c r="G39" i="26"/>
  <c r="K39" i="26"/>
  <c r="O39" i="26"/>
  <c r="T39" i="26"/>
  <c r="X39" i="26"/>
  <c r="AB39" i="26"/>
  <c r="AG39" i="26"/>
  <c r="AK39" i="26"/>
  <c r="AO39" i="26"/>
  <c r="AK32" i="26"/>
  <c r="AK32" i="31" s="1"/>
  <c r="AN36" i="26"/>
  <c r="AN36" i="31" s="1"/>
  <c r="AO38" i="26"/>
  <c r="AO38" i="31" s="1"/>
  <c r="H18" i="26"/>
  <c r="G6" i="26"/>
  <c r="K6" i="26"/>
  <c r="O6" i="26"/>
  <c r="T6" i="26"/>
  <c r="X6" i="26"/>
  <c r="AB6" i="26"/>
  <c r="AG6" i="26"/>
  <c r="AK6" i="26"/>
  <c r="AO6" i="26"/>
  <c r="AP6" i="26" s="1"/>
  <c r="H31" i="26"/>
  <c r="L31" i="26"/>
  <c r="Q31" i="26"/>
  <c r="Q31" i="31" s="1"/>
  <c r="Q5" i="31" s="1"/>
  <c r="Q52" i="31" s="1"/>
  <c r="U31" i="26"/>
  <c r="Y31" i="26"/>
  <c r="AD31" i="26"/>
  <c r="AD31" i="31" s="1"/>
  <c r="AH31" i="26"/>
  <c r="AH31" i="31" s="1"/>
  <c r="AL31" i="26"/>
  <c r="AL31" i="31" s="1"/>
  <c r="E9" i="26"/>
  <c r="I9" i="26"/>
  <c r="M9" i="26"/>
  <c r="R9" i="26"/>
  <c r="V9" i="26"/>
  <c r="Z9" i="26"/>
  <c r="AE9" i="26"/>
  <c r="AI9" i="26"/>
  <c r="AM9" i="26"/>
  <c r="J33" i="26"/>
  <c r="N33" i="26"/>
  <c r="S33" i="26"/>
  <c r="AA33" i="26"/>
  <c r="AF33" i="26"/>
  <c r="AJ33" i="26"/>
  <c r="AJ33" i="31" s="1"/>
  <c r="G35" i="26"/>
  <c r="K35" i="26"/>
  <c r="O35" i="26"/>
  <c r="T35" i="26"/>
  <c r="X35" i="26"/>
  <c r="AB35" i="26"/>
  <c r="AG35" i="26"/>
  <c r="AK35" i="26"/>
  <c r="AK35" i="31" s="1"/>
  <c r="AO35" i="26"/>
  <c r="AO35" i="31" s="1"/>
  <c r="G15" i="26"/>
  <c r="K15" i="26"/>
  <c r="O15" i="26"/>
  <c r="T15" i="26"/>
  <c r="X15" i="26"/>
  <c r="AB15" i="26"/>
  <c r="AG15" i="26"/>
  <c r="AK15" i="26"/>
  <c r="AO15" i="26"/>
  <c r="AP15" i="26" s="1"/>
  <c r="L38" i="26"/>
  <c r="L38" i="31" s="1"/>
  <c r="L15" i="31" s="1"/>
  <c r="U38" i="26"/>
  <c r="U38" i="31" s="1"/>
  <c r="U15" i="31" s="1"/>
  <c r="AD18" i="26"/>
  <c r="N12" i="26"/>
  <c r="AF12" i="26"/>
  <c r="T38" i="26"/>
  <c r="T38" i="31" s="1"/>
  <c r="T15" i="31" s="1"/>
  <c r="AG38" i="26"/>
  <c r="AG38" i="31" s="1"/>
  <c r="AJ31" i="26"/>
  <c r="AJ31" i="31" s="1"/>
  <c r="AF37" i="26"/>
  <c r="I32" i="26"/>
  <c r="V32" i="26"/>
  <c r="AI32" i="26"/>
  <c r="AI32" i="31" s="1"/>
  <c r="O33" i="26"/>
  <c r="T33" i="26"/>
  <c r="X33" i="26"/>
  <c r="AB33" i="26"/>
  <c r="AG33" i="26"/>
  <c r="AK33" i="26"/>
  <c r="AK33" i="31" s="1"/>
  <c r="AO33" i="26"/>
  <c r="AO33" i="31" s="1"/>
  <c r="H35" i="26"/>
  <c r="L35" i="26"/>
  <c r="Q35" i="26"/>
  <c r="Q35" i="31" s="1"/>
  <c r="Q11" i="31" s="1"/>
  <c r="Q56" i="31" s="1"/>
  <c r="U35" i="26"/>
  <c r="Y35" i="26"/>
  <c r="AD35" i="26"/>
  <c r="AD35" i="31" s="1"/>
  <c r="AH35" i="26"/>
  <c r="AH35" i="31" s="1"/>
  <c r="AL35" i="26"/>
  <c r="AL35" i="31" s="1"/>
  <c r="H15" i="26"/>
  <c r="L15" i="26"/>
  <c r="Q15" i="26"/>
  <c r="U15" i="26"/>
  <c r="U59" i="31" s="1"/>
  <c r="Y15" i="26"/>
  <c r="AD15" i="26"/>
  <c r="AH15" i="26"/>
  <c r="AL15" i="26"/>
  <c r="E37" i="26"/>
  <c r="E37" i="31" s="1"/>
  <c r="E14" i="31" s="1"/>
  <c r="E58" i="31" s="1"/>
  <c r="I37" i="26"/>
  <c r="M37" i="26"/>
  <c r="R37" i="26"/>
  <c r="R37" i="31" s="1"/>
  <c r="R14" i="31" s="1"/>
  <c r="R58" i="31" s="1"/>
  <c r="V37" i="26"/>
  <c r="Z37" i="26"/>
  <c r="AE37" i="26"/>
  <c r="AE37" i="31" s="1"/>
  <c r="AI37" i="26"/>
  <c r="AI37" i="31" s="1"/>
  <c r="AM37" i="26"/>
  <c r="AM37" i="31" s="1"/>
  <c r="E18" i="26"/>
  <c r="I18" i="26"/>
  <c r="M18" i="26"/>
  <c r="R18" i="26"/>
  <c r="V18" i="26"/>
  <c r="Z18" i="26"/>
  <c r="AE18" i="26"/>
  <c r="AI18" i="26"/>
  <c r="AM18" i="26"/>
  <c r="F39" i="26"/>
  <c r="J39" i="26"/>
  <c r="N39" i="26"/>
  <c r="W39" i="26"/>
  <c r="AA39" i="26"/>
  <c r="AF39" i="26"/>
  <c r="AN39" i="26"/>
  <c r="G41" i="26"/>
  <c r="K41" i="26"/>
  <c r="O41" i="26"/>
  <c r="T41" i="26"/>
  <c r="X41" i="26"/>
  <c r="AB41" i="26"/>
  <c r="AG41" i="26"/>
  <c r="AK41" i="26"/>
  <c r="AO41" i="26"/>
  <c r="H43" i="26"/>
  <c r="L43" i="26"/>
  <c r="Q43" i="26"/>
  <c r="U43" i="26"/>
  <c r="Y43" i="26"/>
  <c r="AD43" i="26"/>
  <c r="AH43" i="26"/>
  <c r="AL43" i="26"/>
  <c r="E45" i="26"/>
  <c r="I45" i="26"/>
  <c r="M45" i="26"/>
  <c r="R45" i="26"/>
  <c r="V45" i="26"/>
  <c r="Z45" i="26"/>
  <c r="AE45" i="26"/>
  <c r="AI45" i="26"/>
  <c r="AM45" i="26"/>
  <c r="H21" i="26"/>
  <c r="L21" i="26"/>
  <c r="Q21" i="26"/>
  <c r="U21" i="26"/>
  <c r="Y21" i="26"/>
  <c r="AD21" i="26"/>
  <c r="AH21" i="26"/>
  <c r="AL21" i="26"/>
  <c r="E41" i="26"/>
  <c r="I41" i="26"/>
  <c r="M41" i="26"/>
  <c r="R41" i="26"/>
  <c r="V41" i="26"/>
  <c r="Z41" i="26"/>
  <c r="AE41" i="26"/>
  <c r="AI41" i="26"/>
  <c r="AM41" i="26"/>
  <c r="E24" i="26"/>
  <c r="I24" i="26"/>
  <c r="M24" i="26"/>
  <c r="R24" i="26"/>
  <c r="V24" i="26"/>
  <c r="Z24" i="26"/>
  <c r="AE24" i="26"/>
  <c r="AI24" i="26"/>
  <c r="AM24" i="26"/>
  <c r="F43" i="26"/>
  <c r="N43" i="26"/>
  <c r="S43" i="26"/>
  <c r="W43" i="26"/>
  <c r="AF43" i="26"/>
  <c r="AJ43" i="26"/>
  <c r="AN43" i="26"/>
  <c r="F27" i="26"/>
  <c r="J27" i="26"/>
  <c r="N27" i="26"/>
  <c r="S27" i="26"/>
  <c r="W27" i="26"/>
  <c r="AA27" i="26"/>
  <c r="AF27" i="26"/>
  <c r="AJ27" i="26"/>
  <c r="AN27" i="26"/>
  <c r="G45" i="26"/>
  <c r="K45" i="26"/>
  <c r="O45" i="26"/>
  <c r="T45" i="26"/>
  <c r="X45" i="26"/>
  <c r="AB45" i="26"/>
  <c r="AG45" i="26"/>
  <c r="AK45" i="26"/>
  <c r="AO45" i="26"/>
  <c r="G43" i="26"/>
  <c r="K43" i="26"/>
  <c r="O43" i="26"/>
  <c r="T43" i="26"/>
  <c r="X43" i="26"/>
  <c r="AB43" i="26"/>
  <c r="AG43" i="26"/>
  <c r="AK43" i="26"/>
  <c r="AO43" i="26"/>
  <c r="H45" i="26"/>
  <c r="L45" i="26"/>
  <c r="Q45" i="26"/>
  <c r="U45" i="26"/>
  <c r="Y45" i="26"/>
  <c r="AD45" i="26"/>
  <c r="AH45" i="26"/>
  <c r="AL45" i="26"/>
  <c r="D26" i="26"/>
  <c r="D25" i="26"/>
  <c r="D23" i="26"/>
  <c r="D64" i="26" s="1"/>
  <c r="D22" i="26"/>
  <c r="D20" i="26"/>
  <c r="D62" i="26" s="1"/>
  <c r="D19" i="26"/>
  <c r="D17" i="26"/>
  <c r="D60" i="26" s="1"/>
  <c r="D16" i="26"/>
  <c r="D14" i="26"/>
  <c r="D58" i="26" s="1"/>
  <c r="D13" i="26"/>
  <c r="D11" i="26"/>
  <c r="D56" i="26" s="1"/>
  <c r="D10" i="26"/>
  <c r="D8" i="26"/>
  <c r="D54" i="26" s="1"/>
  <c r="D7" i="26"/>
  <c r="D5" i="26"/>
  <c r="D52" i="26" s="1"/>
  <c r="D4" i="26"/>
  <c r="E43" i="20"/>
  <c r="D43" i="20"/>
  <c r="E5" i="20"/>
  <c r="E8" i="20"/>
  <c r="E6" i="20"/>
  <c r="E3" i="20"/>
  <c r="AE34" i="26" l="1"/>
  <c r="AE34" i="31" s="1"/>
  <c r="Q64" i="17"/>
  <c r="I44" i="20"/>
  <c r="I43" i="20"/>
  <c r="AL38" i="26"/>
  <c r="AL38" i="31" s="1"/>
  <c r="Q4" i="17"/>
  <c r="D6" i="26"/>
  <c r="D12" i="26"/>
  <c r="D18" i="26"/>
  <c r="D24" i="26"/>
  <c r="K59" i="31"/>
  <c r="AB59" i="31"/>
  <c r="O59" i="31"/>
  <c r="AP67" i="31"/>
  <c r="P62" i="17" s="1"/>
  <c r="P70" i="17"/>
  <c r="L59" i="31"/>
  <c r="G59" i="31"/>
  <c r="AE54" i="31"/>
  <c r="AD38" i="26"/>
  <c r="AD38" i="31" s="1"/>
  <c r="T59" i="31"/>
  <c r="AM34" i="26"/>
  <c r="AM34" i="31" s="1"/>
  <c r="AE56" i="31"/>
  <c r="AE58" i="31"/>
  <c r="AE52" i="31"/>
  <c r="P65" i="17"/>
  <c r="AG15" i="31"/>
  <c r="AO15" i="31"/>
  <c r="AE11" i="31"/>
  <c r="G44" i="26"/>
  <c r="G44" i="31" s="1"/>
  <c r="G24" i="31" s="1"/>
  <c r="G65" i="31" s="1"/>
  <c r="G43" i="31"/>
  <c r="G23" i="31" s="1"/>
  <c r="L46" i="26"/>
  <c r="L46" i="31" s="1"/>
  <c r="L45" i="31"/>
  <c r="O44" i="26"/>
  <c r="O44" i="31" s="1"/>
  <c r="O24" i="31" s="1"/>
  <c r="O65" i="31" s="1"/>
  <c r="O43" i="31"/>
  <c r="O23" i="31" s="1"/>
  <c r="D66" i="26"/>
  <c r="Y46" i="26"/>
  <c r="Y46" i="31" s="1"/>
  <c r="Y45" i="31"/>
  <c r="H46" i="26"/>
  <c r="H46" i="31" s="1"/>
  <c r="H45" i="31"/>
  <c r="AB44" i="26"/>
  <c r="AB44" i="31" s="1"/>
  <c r="AB24" i="31" s="1"/>
  <c r="AB65" i="31" s="1"/>
  <c r="AB43" i="31"/>
  <c r="AB23" i="31" s="1"/>
  <c r="K44" i="26"/>
  <c r="K44" i="31" s="1"/>
  <c r="K24" i="31" s="1"/>
  <c r="K43" i="31"/>
  <c r="K23" i="31" s="1"/>
  <c r="AG46" i="26"/>
  <c r="AG46" i="31" s="1"/>
  <c r="AG45" i="31"/>
  <c r="O46" i="26"/>
  <c r="O46" i="31" s="1"/>
  <c r="O45" i="31"/>
  <c r="AN44" i="26"/>
  <c r="AN44" i="31" s="1"/>
  <c r="AN43" i="31"/>
  <c r="S44" i="26"/>
  <c r="S44" i="31" s="1"/>
  <c r="S24" i="31" s="1"/>
  <c r="S43" i="31"/>
  <c r="S23" i="31" s="1"/>
  <c r="AM42" i="26"/>
  <c r="AM42" i="31" s="1"/>
  <c r="AM41" i="31"/>
  <c r="V42" i="26"/>
  <c r="V42" i="31" s="1"/>
  <c r="V21" i="31" s="1"/>
  <c r="V63" i="31" s="1"/>
  <c r="V41" i="31"/>
  <c r="V20" i="31" s="1"/>
  <c r="V62" i="31" s="1"/>
  <c r="E42" i="26"/>
  <c r="E42" i="31" s="1"/>
  <c r="E21" i="31" s="1"/>
  <c r="E63" i="31" s="1"/>
  <c r="E41" i="31"/>
  <c r="E20" i="31" s="1"/>
  <c r="E62" i="31" s="1"/>
  <c r="Z46" i="26"/>
  <c r="Z46" i="31" s="1"/>
  <c r="Z45" i="31"/>
  <c r="I46" i="26"/>
  <c r="I46" i="31" s="1"/>
  <c r="I45" i="31"/>
  <c r="AD44" i="26"/>
  <c r="AD44" i="31" s="1"/>
  <c r="AD43" i="31"/>
  <c r="L44" i="26"/>
  <c r="L44" i="31" s="1"/>
  <c r="L24" i="31" s="1"/>
  <c r="L65" i="31" s="1"/>
  <c r="L43" i="31"/>
  <c r="L23" i="31" s="1"/>
  <c r="AG42" i="26"/>
  <c r="AG42" i="31" s="1"/>
  <c r="AG41" i="31"/>
  <c r="O42" i="26"/>
  <c r="O42" i="31" s="1"/>
  <c r="O21" i="31" s="1"/>
  <c r="O63" i="31" s="1"/>
  <c r="O41" i="31"/>
  <c r="O20" i="31" s="1"/>
  <c r="O62" i="31" s="1"/>
  <c r="AF40" i="26"/>
  <c r="AF40" i="31" s="1"/>
  <c r="AF39" i="31"/>
  <c r="J40" i="26"/>
  <c r="J40" i="31" s="1"/>
  <c r="J18" i="31" s="1"/>
  <c r="J61" i="31" s="1"/>
  <c r="J39" i="31"/>
  <c r="J17" i="31" s="1"/>
  <c r="J60" i="31" s="1"/>
  <c r="AE14" i="31"/>
  <c r="U35" i="31"/>
  <c r="U11" i="31" s="1"/>
  <c r="U56" i="31" s="1"/>
  <c r="X33" i="31"/>
  <c r="X8" i="31" s="1"/>
  <c r="X54" i="31" s="1"/>
  <c r="AF37" i="31"/>
  <c r="T32" i="31"/>
  <c r="T6" i="31" s="1"/>
  <c r="T53" i="31" s="1"/>
  <c r="T35" i="31"/>
  <c r="T11" i="31" s="1"/>
  <c r="T56" i="31" s="1"/>
  <c r="N33" i="31"/>
  <c r="N8" i="31" s="1"/>
  <c r="N54" i="31" s="1"/>
  <c r="S36" i="31"/>
  <c r="S12" i="31" s="1"/>
  <c r="S57" i="31" s="1"/>
  <c r="AO40" i="26"/>
  <c r="AO40" i="31" s="1"/>
  <c r="AO39" i="31"/>
  <c r="X40" i="26"/>
  <c r="X40" i="31" s="1"/>
  <c r="X18" i="31" s="1"/>
  <c r="X61" i="31" s="1"/>
  <c r="X39" i="31"/>
  <c r="X17" i="31" s="1"/>
  <c r="X60" i="31" s="1"/>
  <c r="G40" i="26"/>
  <c r="G40" i="31" s="1"/>
  <c r="G18" i="31" s="1"/>
  <c r="G61" i="31" s="1"/>
  <c r="G39" i="31"/>
  <c r="G17" i="31" s="1"/>
  <c r="G60" i="31" s="1"/>
  <c r="W37" i="31"/>
  <c r="W14" i="31" s="1"/>
  <c r="W58" i="31" s="1"/>
  <c r="V35" i="31"/>
  <c r="V11" i="31" s="1"/>
  <c r="V56" i="31" s="1"/>
  <c r="Y33" i="31"/>
  <c r="Y8" i="31" s="1"/>
  <c r="Y54" i="31" s="1"/>
  <c r="H33" i="31"/>
  <c r="H8" i="31" s="1"/>
  <c r="H54" i="31" s="1"/>
  <c r="S31" i="31"/>
  <c r="S5" i="31" s="1"/>
  <c r="S52" i="31" s="1"/>
  <c r="M34" i="31"/>
  <c r="M9" i="31" s="1"/>
  <c r="M55" i="31" s="1"/>
  <c r="G32" i="31"/>
  <c r="G6" i="31" s="1"/>
  <c r="G53" i="31" s="1"/>
  <c r="AJ46" i="26"/>
  <c r="AJ46" i="31" s="1"/>
  <c r="AJ45" i="31"/>
  <c r="S46" i="26"/>
  <c r="S46" i="31" s="1"/>
  <c r="S45" i="31"/>
  <c r="J44" i="26"/>
  <c r="J44" i="31" s="1"/>
  <c r="J24" i="31" s="1"/>
  <c r="J65" i="31" s="1"/>
  <c r="J43" i="31"/>
  <c r="J23" i="31" s="1"/>
  <c r="AB37" i="31"/>
  <c r="AB14" i="31" s="1"/>
  <c r="AB58" i="31" s="1"/>
  <c r="K37" i="31"/>
  <c r="K14" i="31" s="1"/>
  <c r="K58" i="31" s="1"/>
  <c r="K103" i="17" s="1"/>
  <c r="Z44" i="26"/>
  <c r="Z44" i="31" s="1"/>
  <c r="Z24" i="31" s="1"/>
  <c r="Z43" i="31"/>
  <c r="Z23" i="31" s="1"/>
  <c r="I44" i="26"/>
  <c r="I44" i="31" s="1"/>
  <c r="I24" i="31" s="1"/>
  <c r="I65" i="31" s="1"/>
  <c r="I43" i="31"/>
  <c r="I23" i="31" s="1"/>
  <c r="AD42" i="26"/>
  <c r="AD42" i="31" s="1"/>
  <c r="AD41" i="31"/>
  <c r="L42" i="26"/>
  <c r="L42" i="31" s="1"/>
  <c r="L21" i="31" s="1"/>
  <c r="L63" i="31" s="1"/>
  <c r="L41" i="31"/>
  <c r="L20" i="31" s="1"/>
  <c r="L62" i="31" s="1"/>
  <c r="Z33" i="31"/>
  <c r="Z8" i="31" s="1"/>
  <c r="Z54" i="31" s="1"/>
  <c r="I33" i="31"/>
  <c r="I8" i="31" s="1"/>
  <c r="S42" i="26"/>
  <c r="S42" i="31" s="1"/>
  <c r="S21" i="31" s="1"/>
  <c r="S63" i="31" s="1"/>
  <c r="S41" i="31"/>
  <c r="S20" i="31" s="1"/>
  <c r="S62" i="31" s="1"/>
  <c r="AH40" i="26"/>
  <c r="AH40" i="31" s="1"/>
  <c r="AH39" i="31"/>
  <c r="Q40" i="26"/>
  <c r="Q40" i="31" s="1"/>
  <c r="Q18" i="31" s="1"/>
  <c r="Q61" i="31" s="1"/>
  <c r="Q39" i="31"/>
  <c r="Q17" i="31" s="1"/>
  <c r="Q60" i="31" s="1"/>
  <c r="AJ36" i="26"/>
  <c r="AJ36" i="31" s="1"/>
  <c r="AJ35" i="31"/>
  <c r="S35" i="31"/>
  <c r="S11" i="31" s="1"/>
  <c r="K33" i="31"/>
  <c r="K8" i="31" s="1"/>
  <c r="K54" i="31" s="1"/>
  <c r="AE5" i="31"/>
  <c r="AA44" i="26"/>
  <c r="AA44" i="31" s="1"/>
  <c r="AA24" i="31" s="1"/>
  <c r="AA65" i="31" s="1"/>
  <c r="AA43" i="31"/>
  <c r="AA23" i="31" s="1"/>
  <c r="T31" i="31"/>
  <c r="T5" i="31" s="1"/>
  <c r="T52" i="31" s="1"/>
  <c r="K31" i="31"/>
  <c r="K5" i="31" s="1"/>
  <c r="K52" i="31" s="1"/>
  <c r="AM40" i="26"/>
  <c r="AM40" i="31" s="1"/>
  <c r="AM39" i="31"/>
  <c r="AE40" i="26"/>
  <c r="AE40" i="31" s="1"/>
  <c r="AE39" i="31"/>
  <c r="V40" i="26"/>
  <c r="V40" i="31" s="1"/>
  <c r="V18" i="31" s="1"/>
  <c r="V61" i="31" s="1"/>
  <c r="V39" i="31"/>
  <c r="V17" i="31" s="1"/>
  <c r="V60" i="31" s="1"/>
  <c r="M40" i="26"/>
  <c r="M40" i="31" s="1"/>
  <c r="M18" i="31" s="1"/>
  <c r="M61" i="31" s="1"/>
  <c r="M39" i="31"/>
  <c r="M17" i="31" s="1"/>
  <c r="M60" i="31" s="1"/>
  <c r="E40" i="26"/>
  <c r="E40" i="31" s="1"/>
  <c r="E18" i="31" s="1"/>
  <c r="E61" i="31" s="1"/>
  <c r="E39" i="31"/>
  <c r="E17" i="31" s="1"/>
  <c r="E60" i="31" s="1"/>
  <c r="AN42" i="26"/>
  <c r="AN42" i="31" s="1"/>
  <c r="AN41" i="31"/>
  <c r="AO44" i="26"/>
  <c r="AO44" i="31" s="1"/>
  <c r="AO43" i="31"/>
  <c r="X44" i="26"/>
  <c r="X44" i="31" s="1"/>
  <c r="X24" i="31" s="1"/>
  <c r="X43" i="31"/>
  <c r="X23" i="31" s="1"/>
  <c r="AB46" i="26"/>
  <c r="AB46" i="31" s="1"/>
  <c r="AB45" i="31"/>
  <c r="K46" i="26"/>
  <c r="K46" i="31" s="1"/>
  <c r="K45" i="31"/>
  <c r="AJ44" i="26"/>
  <c r="AJ44" i="31" s="1"/>
  <c r="AJ43" i="31"/>
  <c r="N44" i="26"/>
  <c r="N44" i="31" s="1"/>
  <c r="N24" i="31" s="1"/>
  <c r="N43" i="31"/>
  <c r="N23" i="31" s="1"/>
  <c r="AI42" i="26"/>
  <c r="AI42" i="31" s="1"/>
  <c r="AI41" i="31"/>
  <c r="R42" i="26"/>
  <c r="R42" i="31" s="1"/>
  <c r="R21" i="31" s="1"/>
  <c r="R41" i="31"/>
  <c r="R20" i="31" s="1"/>
  <c r="R62" i="31" s="1"/>
  <c r="AM46" i="26"/>
  <c r="AM46" i="31" s="1"/>
  <c r="AM45" i="31"/>
  <c r="V46" i="26"/>
  <c r="V46" i="31" s="1"/>
  <c r="V45" i="31"/>
  <c r="E46" i="26"/>
  <c r="E46" i="31" s="1"/>
  <c r="E45" i="31"/>
  <c r="Y44" i="26"/>
  <c r="Y44" i="31" s="1"/>
  <c r="Y24" i="31" s="1"/>
  <c r="Y43" i="31"/>
  <c r="Y23" i="31" s="1"/>
  <c r="H44" i="26"/>
  <c r="H44" i="31" s="1"/>
  <c r="H24" i="31" s="1"/>
  <c r="H65" i="31" s="1"/>
  <c r="H43" i="31"/>
  <c r="H23" i="31" s="1"/>
  <c r="AB42" i="26"/>
  <c r="AB42" i="31" s="1"/>
  <c r="AB21" i="31" s="1"/>
  <c r="AB41" i="31"/>
  <c r="AB20" i="31" s="1"/>
  <c r="AB62" i="31" s="1"/>
  <c r="K42" i="26"/>
  <c r="K42" i="31" s="1"/>
  <c r="K21" i="31" s="1"/>
  <c r="K63" i="31" s="1"/>
  <c r="K41" i="31"/>
  <c r="K20" i="31" s="1"/>
  <c r="K62" i="31" s="1"/>
  <c r="AA40" i="26"/>
  <c r="AA40" i="31" s="1"/>
  <c r="AA18" i="31" s="1"/>
  <c r="AA61" i="31" s="1"/>
  <c r="AA39" i="31"/>
  <c r="AA17" i="31" s="1"/>
  <c r="AA60" i="31" s="1"/>
  <c r="F40" i="26"/>
  <c r="F40" i="31" s="1"/>
  <c r="F18" i="31" s="1"/>
  <c r="F61" i="31" s="1"/>
  <c r="F39" i="31"/>
  <c r="F17" i="31" s="1"/>
  <c r="F60" i="31" s="1"/>
  <c r="M37" i="31"/>
  <c r="M14" i="31" s="1"/>
  <c r="M58" i="31" s="1"/>
  <c r="T33" i="31"/>
  <c r="T8" i="31" s="1"/>
  <c r="T54" i="31" s="1"/>
  <c r="V32" i="31"/>
  <c r="V6" i="31" s="1"/>
  <c r="V53" i="31" s="1"/>
  <c r="AG35" i="31"/>
  <c r="O35" i="31"/>
  <c r="O11" i="31" s="1"/>
  <c r="O56" i="31" s="1"/>
  <c r="AF33" i="31"/>
  <c r="J33" i="31"/>
  <c r="J8" i="31" s="1"/>
  <c r="J54" i="31" s="1"/>
  <c r="L31" i="31"/>
  <c r="L5" i="31" s="1"/>
  <c r="L52" i="31" s="1"/>
  <c r="AK40" i="26"/>
  <c r="AK40" i="31" s="1"/>
  <c r="AK39" i="31"/>
  <c r="T40" i="26"/>
  <c r="T40" i="31" s="1"/>
  <c r="T18" i="31" s="1"/>
  <c r="T61" i="31" s="1"/>
  <c r="AG61" i="31" s="1"/>
  <c r="T39" i="31"/>
  <c r="T17" i="31" s="1"/>
  <c r="T60" i="31" s="1"/>
  <c r="S37" i="31"/>
  <c r="S14" i="31" s="1"/>
  <c r="U33" i="31"/>
  <c r="U8" i="31" s="1"/>
  <c r="N31" i="31"/>
  <c r="N5" i="31" s="1"/>
  <c r="N52" i="31" s="1"/>
  <c r="AF36" i="31"/>
  <c r="AB32" i="31"/>
  <c r="AB6" i="31" s="1"/>
  <c r="AB53" i="31" s="1"/>
  <c r="W34" i="31"/>
  <c r="W9" i="31" s="1"/>
  <c r="W55" i="31" s="1"/>
  <c r="AF46" i="26"/>
  <c r="AF46" i="31" s="1"/>
  <c r="AF45" i="31"/>
  <c r="N46" i="26"/>
  <c r="N46" i="31" s="1"/>
  <c r="N45" i="31"/>
  <c r="X37" i="31"/>
  <c r="X14" i="31" s="1"/>
  <c r="G37" i="31"/>
  <c r="G14" i="31" s="1"/>
  <c r="G58" i="31" s="1"/>
  <c r="G103" i="17" s="1"/>
  <c r="AM44" i="26"/>
  <c r="AM44" i="31" s="1"/>
  <c r="AM43" i="31"/>
  <c r="V44" i="26"/>
  <c r="V44" i="31" s="1"/>
  <c r="V24" i="31" s="1"/>
  <c r="V65" i="31" s="1"/>
  <c r="V43" i="31"/>
  <c r="V23" i="31" s="1"/>
  <c r="E44" i="26"/>
  <c r="E44" i="31" s="1"/>
  <c r="E24" i="31" s="1"/>
  <c r="E43" i="31"/>
  <c r="E23" i="31" s="1"/>
  <c r="Y42" i="26"/>
  <c r="Y42" i="31" s="1"/>
  <c r="Y21" i="31" s="1"/>
  <c r="Y63" i="31" s="1"/>
  <c r="Y41" i="31"/>
  <c r="Y20" i="31" s="1"/>
  <c r="H42" i="26"/>
  <c r="H42" i="31" s="1"/>
  <c r="H21" i="31" s="1"/>
  <c r="H63" i="31" s="1"/>
  <c r="H41" i="31"/>
  <c r="H20" i="31" s="1"/>
  <c r="H62" i="31" s="1"/>
  <c r="AJ42" i="26"/>
  <c r="AJ42" i="31" s="1"/>
  <c r="AJ41" i="31"/>
  <c r="N42" i="26"/>
  <c r="N42" i="31" s="1"/>
  <c r="N21" i="31" s="1"/>
  <c r="N63" i="31" s="1"/>
  <c r="N41" i="31"/>
  <c r="N20" i="31" s="1"/>
  <c r="N62" i="31" s="1"/>
  <c r="AD40" i="26"/>
  <c r="AD40" i="31" s="1"/>
  <c r="AD39" i="31"/>
  <c r="L40" i="26"/>
  <c r="L40" i="31" s="1"/>
  <c r="L18" i="31" s="1"/>
  <c r="L61" i="31" s="1"/>
  <c r="L39" i="31"/>
  <c r="L17" i="31" s="1"/>
  <c r="L60" i="31" s="1"/>
  <c r="L37" i="31"/>
  <c r="L14" i="31" s="1"/>
  <c r="L58" i="31" s="1"/>
  <c r="AF35" i="31"/>
  <c r="N35" i="31"/>
  <c r="N11" i="31" s="1"/>
  <c r="N56" i="31" s="1"/>
  <c r="G33" i="31"/>
  <c r="G8" i="31" s="1"/>
  <c r="G54" i="31" s="1"/>
  <c r="AB31" i="31"/>
  <c r="AB5" i="31" s="1"/>
  <c r="AB52" i="31" s="1"/>
  <c r="M31" i="31"/>
  <c r="M5" i="31" s="1"/>
  <c r="M52" i="31" s="1"/>
  <c r="AL46" i="26"/>
  <c r="AL46" i="31" s="1"/>
  <c r="AL45" i="31"/>
  <c r="AH46" i="26"/>
  <c r="AH46" i="31" s="1"/>
  <c r="AH45" i="31"/>
  <c r="Q46" i="26"/>
  <c r="Q46" i="31" s="1"/>
  <c r="Q45" i="31"/>
  <c r="AK44" i="26"/>
  <c r="AK44" i="31" s="1"/>
  <c r="AK43" i="31"/>
  <c r="T44" i="26"/>
  <c r="T44" i="31" s="1"/>
  <c r="T24" i="31" s="1"/>
  <c r="T43" i="31"/>
  <c r="T23" i="31" s="1"/>
  <c r="AO46" i="26"/>
  <c r="AO46" i="31" s="1"/>
  <c r="AO45" i="31"/>
  <c r="X46" i="26"/>
  <c r="X46" i="31" s="1"/>
  <c r="X45" i="31"/>
  <c r="G46" i="26"/>
  <c r="G46" i="31" s="1"/>
  <c r="G45" i="31"/>
  <c r="AF44" i="26"/>
  <c r="AF44" i="31" s="1"/>
  <c r="AF43" i="31"/>
  <c r="F44" i="26"/>
  <c r="F44" i="31" s="1"/>
  <c r="F24" i="31" s="1"/>
  <c r="F65" i="31" s="1"/>
  <c r="F43" i="31"/>
  <c r="F23" i="31" s="1"/>
  <c r="AE42" i="26"/>
  <c r="AE42" i="31" s="1"/>
  <c r="AE41" i="31"/>
  <c r="M42" i="26"/>
  <c r="M42" i="31" s="1"/>
  <c r="M21" i="31" s="1"/>
  <c r="M63" i="31" s="1"/>
  <c r="M41" i="31"/>
  <c r="M20" i="31" s="1"/>
  <c r="M62" i="31" s="1"/>
  <c r="AI46" i="26"/>
  <c r="AI46" i="31" s="1"/>
  <c r="AI45" i="31"/>
  <c r="R46" i="26"/>
  <c r="R46" i="31" s="1"/>
  <c r="R45" i="31"/>
  <c r="AL44" i="26"/>
  <c r="AL44" i="31" s="1"/>
  <c r="AL43" i="31"/>
  <c r="U44" i="26"/>
  <c r="U44" i="31" s="1"/>
  <c r="U24" i="31" s="1"/>
  <c r="U43" i="31"/>
  <c r="U23" i="31" s="1"/>
  <c r="AO42" i="26"/>
  <c r="AO42" i="31" s="1"/>
  <c r="AO41" i="31"/>
  <c r="X42" i="26"/>
  <c r="X42" i="31" s="1"/>
  <c r="X21" i="31" s="1"/>
  <c r="AK21" i="31" s="1"/>
  <c r="X41" i="31"/>
  <c r="X20" i="31" s="1"/>
  <c r="X62" i="31" s="1"/>
  <c r="G42" i="26"/>
  <c r="G42" i="31" s="1"/>
  <c r="G21" i="31" s="1"/>
  <c r="G63" i="31" s="1"/>
  <c r="G41" i="31"/>
  <c r="G20" i="31" s="1"/>
  <c r="G62" i="31" s="1"/>
  <c r="W40" i="26"/>
  <c r="W40" i="31" s="1"/>
  <c r="W18" i="31" s="1"/>
  <c r="AJ18" i="31" s="1"/>
  <c r="W39" i="31"/>
  <c r="W17" i="31" s="1"/>
  <c r="W60" i="31" s="1"/>
  <c r="Z37" i="31"/>
  <c r="Z14" i="31" s="1"/>
  <c r="I37" i="31"/>
  <c r="I14" i="31" s="1"/>
  <c r="I58" i="31" s="1"/>
  <c r="L35" i="31"/>
  <c r="L11" i="31" s="1"/>
  <c r="L56" i="31" s="1"/>
  <c r="AG33" i="31"/>
  <c r="O33" i="31"/>
  <c r="O8" i="31" s="1"/>
  <c r="O54" i="31" s="1"/>
  <c r="M32" i="31"/>
  <c r="M6" i="31" s="1"/>
  <c r="M53" i="31" s="1"/>
  <c r="AB35" i="31"/>
  <c r="AB11" i="31" s="1"/>
  <c r="K35" i="31"/>
  <c r="K11" i="31" s="1"/>
  <c r="K56" i="31" s="1"/>
  <c r="AA33" i="31"/>
  <c r="AA8" i="31" s="1"/>
  <c r="Y31" i="31"/>
  <c r="Y5" i="31" s="1"/>
  <c r="Y52" i="31" s="1"/>
  <c r="H31" i="31"/>
  <c r="H5" i="31" s="1"/>
  <c r="H52" i="31" s="1"/>
  <c r="AG40" i="26"/>
  <c r="AG40" i="31" s="1"/>
  <c r="AG39" i="31"/>
  <c r="O40" i="26"/>
  <c r="O40" i="31" s="1"/>
  <c r="O18" i="31" s="1"/>
  <c r="O61" i="31" s="1"/>
  <c r="O39" i="31"/>
  <c r="O17" i="31" s="1"/>
  <c r="O60" i="31" s="1"/>
  <c r="J37" i="31"/>
  <c r="J14" i="31" s="1"/>
  <c r="J58" i="31" s="1"/>
  <c r="M35" i="31"/>
  <c r="M11" i="31" s="1"/>
  <c r="M56" i="31" s="1"/>
  <c r="AF31" i="31"/>
  <c r="J31" i="31"/>
  <c r="J5" i="31" s="1"/>
  <c r="J52" i="31" s="1"/>
  <c r="W36" i="31"/>
  <c r="W12" i="31" s="1"/>
  <c r="W57" i="31" s="1"/>
  <c r="O32" i="31"/>
  <c r="O6" i="31" s="1"/>
  <c r="O53" i="31" s="1"/>
  <c r="W32" i="31"/>
  <c r="W6" i="31" s="1"/>
  <c r="W53" i="31" s="1"/>
  <c r="AA46" i="26"/>
  <c r="AA46" i="31" s="1"/>
  <c r="AA45" i="31"/>
  <c r="J46" i="26"/>
  <c r="J46" i="31" s="1"/>
  <c r="J45" i="31"/>
  <c r="T37" i="31"/>
  <c r="T14" i="31" s="1"/>
  <c r="T58" i="31" s="1"/>
  <c r="AN34" i="26"/>
  <c r="AN34" i="31" s="1"/>
  <c r="AN33" i="31"/>
  <c r="AI44" i="26"/>
  <c r="AI44" i="31" s="1"/>
  <c r="AI43" i="31"/>
  <c r="R44" i="26"/>
  <c r="R44" i="31" s="1"/>
  <c r="R24" i="31" s="1"/>
  <c r="R43" i="31"/>
  <c r="R23" i="31" s="1"/>
  <c r="AL42" i="26"/>
  <c r="AL42" i="31" s="1"/>
  <c r="AL41" i="31"/>
  <c r="U42" i="26"/>
  <c r="U42" i="31" s="1"/>
  <c r="U21" i="31" s="1"/>
  <c r="U63" i="31" s="1"/>
  <c r="U41" i="31"/>
  <c r="U20" i="31" s="1"/>
  <c r="U62" i="31" s="1"/>
  <c r="AJ40" i="26"/>
  <c r="AJ40" i="31" s="1"/>
  <c r="AJ39" i="31"/>
  <c r="AI34" i="26"/>
  <c r="AI34" i="31" s="1"/>
  <c r="AI33" i="31"/>
  <c r="AE8" i="31"/>
  <c r="AM32" i="26"/>
  <c r="AM32" i="31" s="1"/>
  <c r="AM31" i="31"/>
  <c r="AF42" i="26"/>
  <c r="AF42" i="31" s="1"/>
  <c r="AF41" i="31"/>
  <c r="J42" i="26"/>
  <c r="J42" i="31" s="1"/>
  <c r="J21" i="31" s="1"/>
  <c r="J63" i="31" s="1"/>
  <c r="J41" i="31"/>
  <c r="J20" i="31" s="1"/>
  <c r="J62" i="31" s="1"/>
  <c r="Y40" i="26"/>
  <c r="Y40" i="31" s="1"/>
  <c r="Y18" i="31" s="1"/>
  <c r="Y61" i="31" s="1"/>
  <c r="AL61" i="31" s="1"/>
  <c r="Y39" i="31"/>
  <c r="Y17" i="31" s="1"/>
  <c r="H40" i="26"/>
  <c r="H40" i="31" s="1"/>
  <c r="H18" i="31" s="1"/>
  <c r="H61" i="31" s="1"/>
  <c r="H39" i="31"/>
  <c r="H17" i="31" s="1"/>
  <c r="H60" i="31" s="1"/>
  <c r="Y37" i="31"/>
  <c r="Y14" i="31" s="1"/>
  <c r="H37" i="31"/>
  <c r="H14" i="31" s="1"/>
  <c r="H58" i="31" s="1"/>
  <c r="AA35" i="31"/>
  <c r="AA11" i="31" s="1"/>
  <c r="AA56" i="31" s="1"/>
  <c r="J35" i="31"/>
  <c r="J11" i="31" s="1"/>
  <c r="J56" i="31" s="1"/>
  <c r="AO32" i="26"/>
  <c r="AO32" i="31" s="1"/>
  <c r="AO31" i="31"/>
  <c r="Z31" i="31"/>
  <c r="Z5" i="31" s="1"/>
  <c r="Z52" i="31" s="1"/>
  <c r="I31" i="31"/>
  <c r="I5" i="31" s="1"/>
  <c r="I52" i="31" s="1"/>
  <c r="X31" i="31"/>
  <c r="X5" i="31" s="1"/>
  <c r="X52" i="31" s="1"/>
  <c r="O31" i="31"/>
  <c r="O5" i="31" s="1"/>
  <c r="O52" i="31" s="1"/>
  <c r="G31" i="31"/>
  <c r="G5" i="31" s="1"/>
  <c r="G52" i="31" s="1"/>
  <c r="AI40" i="26"/>
  <c r="AI40" i="31" s="1"/>
  <c r="AI39" i="31"/>
  <c r="Z40" i="26"/>
  <c r="Z40" i="31" s="1"/>
  <c r="Z18" i="31" s="1"/>
  <c r="Z39" i="31"/>
  <c r="Z17" i="31" s="1"/>
  <c r="R40" i="26"/>
  <c r="R40" i="31" s="1"/>
  <c r="R18" i="31" s="1"/>
  <c r="R39" i="31"/>
  <c r="R17" i="31" s="1"/>
  <c r="I40" i="26"/>
  <c r="I40" i="31" s="1"/>
  <c r="I18" i="31" s="1"/>
  <c r="I61" i="31" s="1"/>
  <c r="I39" i="31"/>
  <c r="I17" i="31" s="1"/>
  <c r="I60" i="31" s="1"/>
  <c r="W31" i="31"/>
  <c r="W5" i="31" s="1"/>
  <c r="W52" i="31" s="1"/>
  <c r="W42" i="26"/>
  <c r="W42" i="31" s="1"/>
  <c r="W21" i="31" s="1"/>
  <c r="W41" i="31"/>
  <c r="W20" i="31" s="1"/>
  <c r="F42" i="26"/>
  <c r="F42" i="31" s="1"/>
  <c r="F21" i="31" s="1"/>
  <c r="F63" i="31" s="1"/>
  <c r="F41" i="31"/>
  <c r="F20" i="31" s="1"/>
  <c r="F62" i="31" s="1"/>
  <c r="U46" i="26"/>
  <c r="U46" i="31" s="1"/>
  <c r="U45" i="31"/>
  <c r="AD46" i="26"/>
  <c r="AD46" i="31" s="1"/>
  <c r="AD45" i="31"/>
  <c r="AG44" i="26"/>
  <c r="AG44" i="31" s="1"/>
  <c r="AG43" i="31"/>
  <c r="AK46" i="26"/>
  <c r="AK46" i="31" s="1"/>
  <c r="AK45" i="31"/>
  <c r="T46" i="26"/>
  <c r="T46" i="31" s="1"/>
  <c r="T45" i="31"/>
  <c r="W44" i="26"/>
  <c r="W44" i="31" s="1"/>
  <c r="W24" i="31" s="1"/>
  <c r="W65" i="31" s="1"/>
  <c r="W43" i="31"/>
  <c r="W23" i="31" s="1"/>
  <c r="Z42" i="26"/>
  <c r="Z42" i="31" s="1"/>
  <c r="Z21" i="31" s="1"/>
  <c r="Z41" i="31"/>
  <c r="Z20" i="31" s="1"/>
  <c r="Z62" i="31" s="1"/>
  <c r="I42" i="26"/>
  <c r="I42" i="31" s="1"/>
  <c r="I21" i="31" s="1"/>
  <c r="I63" i="31" s="1"/>
  <c r="I41" i="31"/>
  <c r="I20" i="31" s="1"/>
  <c r="AE46" i="26"/>
  <c r="AE46" i="31" s="1"/>
  <c r="AE45" i="31"/>
  <c r="M46" i="26"/>
  <c r="M46" i="31" s="1"/>
  <c r="M45" i="31"/>
  <c r="AH44" i="26"/>
  <c r="AH44" i="31" s="1"/>
  <c r="AH43" i="31"/>
  <c r="Q44" i="26"/>
  <c r="Q44" i="31" s="1"/>
  <c r="Q24" i="31" s="1"/>
  <c r="Q65" i="31" s="1"/>
  <c r="Q43" i="31"/>
  <c r="Q23" i="31" s="1"/>
  <c r="AK42" i="26"/>
  <c r="AK42" i="31" s="1"/>
  <c r="AK41" i="31"/>
  <c r="T42" i="26"/>
  <c r="T42" i="31" s="1"/>
  <c r="T21" i="31" s="1"/>
  <c r="T63" i="31" s="1"/>
  <c r="T41" i="31"/>
  <c r="T20" i="31" s="1"/>
  <c r="AN40" i="26"/>
  <c r="AN40" i="31" s="1"/>
  <c r="AN39" i="31"/>
  <c r="N40" i="26"/>
  <c r="N40" i="31" s="1"/>
  <c r="N18" i="31" s="1"/>
  <c r="N61" i="31" s="1"/>
  <c r="N39" i="31"/>
  <c r="N17" i="31" s="1"/>
  <c r="N60" i="31" s="1"/>
  <c r="V37" i="31"/>
  <c r="V14" i="31" s="1"/>
  <c r="Y35" i="31"/>
  <c r="Y11" i="31" s="1"/>
  <c r="H35" i="31"/>
  <c r="H11" i="31" s="1"/>
  <c r="H56" i="31" s="1"/>
  <c r="AB33" i="31"/>
  <c r="AB8" i="31" s="1"/>
  <c r="AB54" i="31" s="1"/>
  <c r="G34" i="31"/>
  <c r="G9" i="31" s="1"/>
  <c r="G55" i="31" s="1"/>
  <c r="I32" i="31"/>
  <c r="I6" i="31" s="1"/>
  <c r="I53" i="31" s="1"/>
  <c r="N36" i="31"/>
  <c r="N12" i="31" s="1"/>
  <c r="N57" i="31" s="1"/>
  <c r="X35" i="31"/>
  <c r="X11" i="31" s="1"/>
  <c r="G35" i="31"/>
  <c r="G11" i="31" s="1"/>
  <c r="G56" i="31" s="1"/>
  <c r="S33" i="31"/>
  <c r="S8" i="31" s="1"/>
  <c r="U31" i="31"/>
  <c r="U5" i="31" s="1"/>
  <c r="U52" i="31" s="1"/>
  <c r="X32" i="31"/>
  <c r="X6" i="31" s="1"/>
  <c r="X53" i="31" s="1"/>
  <c r="AB40" i="26"/>
  <c r="AB40" i="31" s="1"/>
  <c r="AB18" i="31" s="1"/>
  <c r="AB61" i="31" s="1"/>
  <c r="AB39" i="31"/>
  <c r="AB17" i="31" s="1"/>
  <c r="AB60" i="31" s="1"/>
  <c r="K40" i="26"/>
  <c r="K40" i="31" s="1"/>
  <c r="K18" i="31" s="1"/>
  <c r="K61" i="31" s="1"/>
  <c r="K39" i="31"/>
  <c r="K17" i="31" s="1"/>
  <c r="AA37" i="31"/>
  <c r="AA14" i="31" s="1"/>
  <c r="Z35" i="31"/>
  <c r="Z11" i="31" s="1"/>
  <c r="I35" i="31"/>
  <c r="I11" i="31" s="1"/>
  <c r="I56" i="31" s="1"/>
  <c r="L33" i="31"/>
  <c r="L8" i="31" s="1"/>
  <c r="L54" i="31" s="1"/>
  <c r="AA31" i="31"/>
  <c r="AA5" i="31" s="1"/>
  <c r="AA52" i="31" s="1"/>
  <c r="K32" i="31"/>
  <c r="K6" i="31" s="1"/>
  <c r="K53" i="31" s="1"/>
  <c r="AN46" i="26"/>
  <c r="AN46" i="31" s="1"/>
  <c r="AN45" i="31"/>
  <c r="W46" i="26"/>
  <c r="W46" i="31" s="1"/>
  <c r="W45" i="31"/>
  <c r="F46" i="26"/>
  <c r="F46" i="31" s="1"/>
  <c r="F45" i="31"/>
  <c r="AG37" i="31"/>
  <c r="O37" i="31"/>
  <c r="O14" i="31" s="1"/>
  <c r="O58" i="31" s="1"/>
  <c r="W33" i="31"/>
  <c r="W8" i="31" s="1"/>
  <c r="AE44" i="26"/>
  <c r="AE44" i="31" s="1"/>
  <c r="AE43" i="31"/>
  <c r="M44" i="26"/>
  <c r="M44" i="31" s="1"/>
  <c r="M24" i="31" s="1"/>
  <c r="M65" i="31" s="1"/>
  <c r="M43" i="31"/>
  <c r="M23" i="31" s="1"/>
  <c r="AH42" i="26"/>
  <c r="AH42" i="31" s="1"/>
  <c r="AH41" i="31"/>
  <c r="Q42" i="26"/>
  <c r="Q42" i="31" s="1"/>
  <c r="Q21" i="31" s="1"/>
  <c r="Q63" i="31" s="1"/>
  <c r="Q41" i="31"/>
  <c r="Q20" i="31" s="1"/>
  <c r="Q62" i="31" s="1"/>
  <c r="S40" i="26"/>
  <c r="S40" i="31" s="1"/>
  <c r="S18" i="31" s="1"/>
  <c r="S39" i="31"/>
  <c r="S17" i="31" s="1"/>
  <c r="S60" i="31" s="1"/>
  <c r="M33" i="31"/>
  <c r="M8" i="31" s="1"/>
  <c r="M54" i="31" s="1"/>
  <c r="AA42" i="26"/>
  <c r="AA42" i="31" s="1"/>
  <c r="AA21" i="31" s="1"/>
  <c r="AA41" i="31"/>
  <c r="AA20" i="31" s="1"/>
  <c r="AA62" i="31" s="1"/>
  <c r="AL40" i="26"/>
  <c r="AL40" i="31" s="1"/>
  <c r="AL39" i="31"/>
  <c r="U40" i="26"/>
  <c r="U40" i="31" s="1"/>
  <c r="U18" i="31" s="1"/>
  <c r="U61" i="31" s="1"/>
  <c r="U39" i="31"/>
  <c r="U17" i="31" s="1"/>
  <c r="U37" i="31"/>
  <c r="U14" i="31" s="1"/>
  <c r="W35" i="31"/>
  <c r="W11" i="31" s="1"/>
  <c r="V31" i="31"/>
  <c r="V5" i="31" s="1"/>
  <c r="V52" i="31" s="1"/>
  <c r="AP36" i="26"/>
  <c r="AP36" i="31" s="1"/>
  <c r="AP35" i="31"/>
  <c r="AP64" i="26"/>
  <c r="AP43" i="26"/>
  <c r="AP62" i="26"/>
  <c r="AP41" i="26"/>
  <c r="Z32" i="26"/>
  <c r="H38" i="26"/>
  <c r="H38" i="31" s="1"/>
  <c r="H15" i="31" s="1"/>
  <c r="AH15" i="31" s="1"/>
  <c r="F38" i="26"/>
  <c r="F38" i="31" s="1"/>
  <c r="F15" i="31" s="1"/>
  <c r="F59" i="31" s="1"/>
  <c r="F103" i="17" s="1"/>
  <c r="F32" i="26"/>
  <c r="AA36" i="26"/>
  <c r="F36" i="26"/>
  <c r="E32" i="26"/>
  <c r="AP66" i="26"/>
  <c r="AP45" i="26"/>
  <c r="D9" i="26"/>
  <c r="D15" i="26"/>
  <c r="D21" i="26"/>
  <c r="D27" i="26"/>
  <c r="E38" i="26"/>
  <c r="E38" i="31" s="1"/>
  <c r="E15" i="31" s="1"/>
  <c r="E59" i="31" s="1"/>
  <c r="E103" i="17" s="1"/>
  <c r="Y38" i="26"/>
  <c r="Y38" i="31" s="1"/>
  <c r="Y15" i="31" s="1"/>
  <c r="AL15" i="31" s="1"/>
  <c r="X38" i="26"/>
  <c r="X38" i="31" s="1"/>
  <c r="X15" i="31" s="1"/>
  <c r="AK15" i="31" s="1"/>
  <c r="E36" i="26"/>
  <c r="J36" i="26"/>
  <c r="F34" i="26"/>
  <c r="N38" i="26"/>
  <c r="N38" i="31" s="1"/>
  <c r="N15" i="31" s="1"/>
  <c r="N59" i="31" s="1"/>
  <c r="N103" i="17" s="1"/>
  <c r="AG32" i="26"/>
  <c r="R32" i="26"/>
  <c r="R32" i="31" s="1"/>
  <c r="R6" i="31" s="1"/>
  <c r="R53" i="31" s="1"/>
  <c r="E77" i="17" s="1"/>
  <c r="AP60" i="26"/>
  <c r="AP39" i="26"/>
  <c r="AP54" i="26"/>
  <c r="AP33" i="26"/>
  <c r="R34" i="26"/>
  <c r="R34" i="31" s="1"/>
  <c r="R9" i="31" s="1"/>
  <c r="R55" i="31" s="1"/>
  <c r="V34" i="26"/>
  <c r="E34" i="26"/>
  <c r="AP58" i="26"/>
  <c r="AP37" i="26"/>
  <c r="AP52" i="26"/>
  <c r="AP31" i="26"/>
  <c r="Q12" i="17"/>
  <c r="Q10" i="17"/>
  <c r="Q8" i="17"/>
  <c r="Q5" i="17" s="1"/>
  <c r="K34" i="26"/>
  <c r="AE32" i="26"/>
  <c r="AE32" i="31" s="1"/>
  <c r="AH38" i="26"/>
  <c r="AH38" i="31" s="1"/>
  <c r="Q38" i="26"/>
  <c r="Q38" i="31" s="1"/>
  <c r="Q15" i="31" s="1"/>
  <c r="Q59" i="31" s="1"/>
  <c r="I34" i="26"/>
  <c r="Z34" i="26"/>
  <c r="M38" i="26"/>
  <c r="M38" i="31" s="1"/>
  <c r="M15" i="31" s="1"/>
  <c r="M59" i="31" s="1"/>
  <c r="AK34" i="26"/>
  <c r="AK34" i="31" s="1"/>
  <c r="AA34" i="26"/>
  <c r="D33" i="26"/>
  <c r="D33" i="31" s="1"/>
  <c r="D8" i="31" s="1"/>
  <c r="D37" i="26"/>
  <c r="D37" i="31" s="1"/>
  <c r="D14" i="31" s="1"/>
  <c r="D41" i="26"/>
  <c r="D45" i="26"/>
  <c r="AI38" i="26"/>
  <c r="AI38" i="31" s="1"/>
  <c r="R38" i="26"/>
  <c r="R38" i="31" s="1"/>
  <c r="R15" i="31" s="1"/>
  <c r="R59" i="31" s="1"/>
  <c r="E83" i="17" s="1"/>
  <c r="AL36" i="26"/>
  <c r="AL36" i="31" s="1"/>
  <c r="U36" i="26"/>
  <c r="AO34" i="26"/>
  <c r="AO34" i="31" s="1"/>
  <c r="X34" i="26"/>
  <c r="AF38" i="26"/>
  <c r="AF38" i="31" s="1"/>
  <c r="AG36" i="26"/>
  <c r="O36" i="26"/>
  <c r="AF34" i="26"/>
  <c r="J34" i="26"/>
  <c r="AD32" i="26"/>
  <c r="AD32" i="31" s="1"/>
  <c r="L32" i="26"/>
  <c r="W38" i="26"/>
  <c r="W38" i="31" s="1"/>
  <c r="W15" i="31" s="1"/>
  <c r="W59" i="31" s="1"/>
  <c r="AM36" i="26"/>
  <c r="AM36" i="31" s="1"/>
  <c r="V36" i="26"/>
  <c r="Y34" i="26"/>
  <c r="H34" i="26"/>
  <c r="S32" i="26"/>
  <c r="AE38" i="26"/>
  <c r="AE38" i="31" s="1"/>
  <c r="AH36" i="26"/>
  <c r="AH36" i="31" s="1"/>
  <c r="AB36" i="26"/>
  <c r="H32" i="26"/>
  <c r="S38" i="26"/>
  <c r="S38" i="31" s="1"/>
  <c r="S15" i="31" s="1"/>
  <c r="S59" i="31" s="1"/>
  <c r="AI36" i="26"/>
  <c r="AI36" i="31" s="1"/>
  <c r="AL34" i="26"/>
  <c r="AL34" i="31" s="1"/>
  <c r="U34" i="26"/>
  <c r="AN32" i="26"/>
  <c r="AN32" i="31" s="1"/>
  <c r="N32" i="26"/>
  <c r="D31" i="26"/>
  <c r="D31" i="31" s="1"/>
  <c r="D5" i="31" s="1"/>
  <c r="D52" i="31" s="1"/>
  <c r="D35" i="26"/>
  <c r="D35" i="31" s="1"/>
  <c r="D11" i="31" s="1"/>
  <c r="D39" i="26"/>
  <c r="D43" i="26"/>
  <c r="Z38" i="26"/>
  <c r="Z38" i="31" s="1"/>
  <c r="Z15" i="31" s="1"/>
  <c r="AM15" i="31" s="1"/>
  <c r="I38" i="26"/>
  <c r="I38" i="31" s="1"/>
  <c r="I15" i="31" s="1"/>
  <c r="I59" i="31" s="1"/>
  <c r="AD36" i="26"/>
  <c r="AD36" i="31" s="1"/>
  <c r="L36" i="26"/>
  <c r="AG34" i="26"/>
  <c r="O34" i="26"/>
  <c r="AO36" i="26"/>
  <c r="AO36" i="31" s="1"/>
  <c r="X36" i="26"/>
  <c r="G36" i="26"/>
  <c r="S34" i="26"/>
  <c r="AL32" i="26"/>
  <c r="AL32" i="31" s="1"/>
  <c r="U32" i="26"/>
  <c r="AJ38" i="26"/>
  <c r="AJ38" i="31" s="1"/>
  <c r="J38" i="26"/>
  <c r="J38" i="31" s="1"/>
  <c r="J15" i="31" s="1"/>
  <c r="AE36" i="26"/>
  <c r="AE36" i="31" s="1"/>
  <c r="M36" i="26"/>
  <c r="AH34" i="26"/>
  <c r="AH34" i="31" s="1"/>
  <c r="Q34" i="26"/>
  <c r="Q34" i="31" s="1"/>
  <c r="Q9" i="31" s="1"/>
  <c r="Q55" i="31" s="1"/>
  <c r="AF32" i="26"/>
  <c r="J32" i="26"/>
  <c r="Q36" i="26"/>
  <c r="Q36" i="31" s="1"/>
  <c r="Q12" i="31" s="1"/>
  <c r="Q57" i="31" s="1"/>
  <c r="T34" i="26"/>
  <c r="AJ32" i="26"/>
  <c r="AJ32" i="31" s="1"/>
  <c r="K36" i="26"/>
  <c r="Y32" i="26"/>
  <c r="AN38" i="26"/>
  <c r="AN38" i="31" s="1"/>
  <c r="R36" i="26"/>
  <c r="R36" i="31" s="1"/>
  <c r="R12" i="31" s="1"/>
  <c r="R57" i="31" s="1"/>
  <c r="E81" i="17" s="1"/>
  <c r="AM38" i="26"/>
  <c r="AM38" i="31" s="1"/>
  <c r="V38" i="26"/>
  <c r="V38" i="31" s="1"/>
  <c r="V15" i="31" s="1"/>
  <c r="V59" i="31" s="1"/>
  <c r="Y36" i="26"/>
  <c r="H36" i="26"/>
  <c r="AB34" i="26"/>
  <c r="AK36" i="26"/>
  <c r="AK36" i="31" s="1"/>
  <c r="T36" i="26"/>
  <c r="AJ34" i="26"/>
  <c r="AJ34" i="31" s="1"/>
  <c r="N34" i="26"/>
  <c r="AH32" i="26"/>
  <c r="AH32" i="31" s="1"/>
  <c r="Q32" i="26"/>
  <c r="Q32" i="31" s="1"/>
  <c r="Q6" i="31" s="1"/>
  <c r="Q53" i="31" s="1"/>
  <c r="D77" i="17" s="1"/>
  <c r="AA38" i="26"/>
  <c r="AA38" i="31" s="1"/>
  <c r="AA15" i="31" s="1"/>
  <c r="AA59" i="31" s="1"/>
  <c r="Z36" i="26"/>
  <c r="I36" i="26"/>
  <c r="AD34" i="26"/>
  <c r="AD34" i="31" s="1"/>
  <c r="L34" i="26"/>
  <c r="AA32" i="26"/>
  <c r="E4" i="20"/>
  <c r="E7" i="20"/>
  <c r="Q6" i="17" s="1"/>
  <c r="O103" i="17" l="1"/>
  <c r="L103" i="17"/>
  <c r="AL63" i="31"/>
  <c r="AG59" i="31"/>
  <c r="AF59" i="31"/>
  <c r="AO59" i="31"/>
  <c r="AJ15" i="31"/>
  <c r="AO61" i="31"/>
  <c r="AM21" i="31"/>
  <c r="AO21" i="31"/>
  <c r="AE21" i="31"/>
  <c r="AF18" i="31"/>
  <c r="AK53" i="31"/>
  <c r="AE18" i="31"/>
  <c r="AI59" i="31"/>
  <c r="AG63" i="31"/>
  <c r="AI53" i="31"/>
  <c r="AI61" i="31"/>
  <c r="AN59" i="31"/>
  <c r="N101" i="17"/>
  <c r="F107" i="17"/>
  <c r="P67" i="17"/>
  <c r="Y59" i="31"/>
  <c r="AL59" i="31" s="1"/>
  <c r="D79" i="17"/>
  <c r="D83" i="17"/>
  <c r="AO53" i="31"/>
  <c r="AN61" i="31"/>
  <c r="AI65" i="31"/>
  <c r="AK61" i="31"/>
  <c r="D81" i="17"/>
  <c r="AH14" i="31"/>
  <c r="U58" i="31"/>
  <c r="K77" i="17"/>
  <c r="AK52" i="31"/>
  <c r="AL14" i="31"/>
  <c r="Y58" i="31"/>
  <c r="H87" i="17"/>
  <c r="AH62" i="31"/>
  <c r="AG24" i="31"/>
  <c r="AF14" i="31"/>
  <c r="S58" i="31"/>
  <c r="M103" i="17"/>
  <c r="AL24" i="31"/>
  <c r="G77" i="17"/>
  <c r="AG52" i="31"/>
  <c r="AG56" i="31"/>
  <c r="K64" i="31"/>
  <c r="K26" i="31"/>
  <c r="K66" i="31" s="1"/>
  <c r="N65" i="31"/>
  <c r="AN65" i="31" s="1"/>
  <c r="AH63" i="31"/>
  <c r="AD14" i="31"/>
  <c r="D58" i="31"/>
  <c r="AH17" i="31"/>
  <c r="U60" i="31"/>
  <c r="AN62" i="31"/>
  <c r="AL54" i="31"/>
  <c r="AK17" i="31"/>
  <c r="K60" i="31"/>
  <c r="K105" i="17" s="1"/>
  <c r="AK11" i="31"/>
  <c r="X56" i="31"/>
  <c r="AO54" i="31"/>
  <c r="N105" i="17"/>
  <c r="AG20" i="31"/>
  <c r="T62" i="31"/>
  <c r="Q64" i="31"/>
  <c r="D89" i="17" s="1"/>
  <c r="Q26" i="31"/>
  <c r="Q66" i="31" s="1"/>
  <c r="AI20" i="31"/>
  <c r="I62" i="31"/>
  <c r="I107" i="17" s="1"/>
  <c r="AJ23" i="31"/>
  <c r="W26" i="31"/>
  <c r="W66" i="31" s="1"/>
  <c r="W64" i="31"/>
  <c r="J77" i="17"/>
  <c r="AJ52" i="31"/>
  <c r="I97" i="17"/>
  <c r="H105" i="17"/>
  <c r="J107" i="17"/>
  <c r="AH21" i="31"/>
  <c r="AE24" i="31"/>
  <c r="R27" i="31"/>
  <c r="AJ60" i="31"/>
  <c r="AK62" i="31"/>
  <c r="U64" i="31"/>
  <c r="U26" i="31"/>
  <c r="U66" i="31" s="1"/>
  <c r="M107" i="17"/>
  <c r="F64" i="31"/>
  <c r="F109" i="17" s="1"/>
  <c r="F26" i="31"/>
  <c r="F66" i="31" s="1"/>
  <c r="M97" i="17"/>
  <c r="AL20" i="31"/>
  <c r="Y62" i="31"/>
  <c r="AI23" i="31"/>
  <c r="V64" i="31"/>
  <c r="V26" i="31"/>
  <c r="V66" i="31" s="1"/>
  <c r="G85" i="17"/>
  <c r="AG60" i="31"/>
  <c r="F105" i="17"/>
  <c r="K107" i="17"/>
  <c r="H64" i="31"/>
  <c r="H109" i="17" s="1"/>
  <c r="H26" i="31"/>
  <c r="H66" i="31" s="1"/>
  <c r="E105" i="17"/>
  <c r="I85" i="17"/>
  <c r="AI60" i="31"/>
  <c r="AA64" i="31"/>
  <c r="AA26" i="31"/>
  <c r="AA66" i="31" s="1"/>
  <c r="D85" i="17"/>
  <c r="F87" i="17"/>
  <c r="AF62" i="31"/>
  <c r="L107" i="17"/>
  <c r="I64" i="31"/>
  <c r="I109" i="17" s="1"/>
  <c r="I26" i="31"/>
  <c r="I66" i="31" s="1"/>
  <c r="O26" i="31"/>
  <c r="O66" i="31" s="1"/>
  <c r="O64" i="31"/>
  <c r="O109" i="17" s="1"/>
  <c r="G26" i="31"/>
  <c r="G66" i="31" s="1"/>
  <c r="G64" i="31"/>
  <c r="G109" i="17" s="1"/>
  <c r="AB63" i="31"/>
  <c r="AO63" i="31" s="1"/>
  <c r="W61" i="31"/>
  <c r="AJ61" i="31" s="1"/>
  <c r="T65" i="31"/>
  <c r="AD11" i="31"/>
  <c r="D56" i="31"/>
  <c r="AJ21" i="31"/>
  <c r="W63" i="31"/>
  <c r="AJ63" i="31" s="1"/>
  <c r="G105" i="17"/>
  <c r="I87" i="17"/>
  <c r="AI62" i="31"/>
  <c r="AG53" i="31"/>
  <c r="AJ65" i="31"/>
  <c r="J59" i="31"/>
  <c r="AJ59" i="31" s="1"/>
  <c r="AI63" i="31"/>
  <c r="AI52" i="31"/>
  <c r="I77" i="17"/>
  <c r="AH61" i="31"/>
  <c r="AN21" i="31"/>
  <c r="AA63" i="31"/>
  <c r="AN63" i="31" s="1"/>
  <c r="D87" i="17"/>
  <c r="M64" i="31"/>
  <c r="M109" i="17" s="1"/>
  <c r="M26" i="31"/>
  <c r="M66" i="31" s="1"/>
  <c r="AJ8" i="31"/>
  <c r="W54" i="31"/>
  <c r="AH52" i="31"/>
  <c r="Q27" i="31"/>
  <c r="AJ24" i="31"/>
  <c r="W27" i="31"/>
  <c r="I105" i="17"/>
  <c r="AM17" i="31"/>
  <c r="Z60" i="31"/>
  <c r="G97" i="17"/>
  <c r="AM52" i="31"/>
  <c r="AN56" i="31"/>
  <c r="G83" i="17"/>
  <c r="AG58" i="31"/>
  <c r="O105" i="17"/>
  <c r="AO11" i="31"/>
  <c r="AB56" i="31"/>
  <c r="AH24" i="31"/>
  <c r="O77" i="17"/>
  <c r="AO52" i="31"/>
  <c r="AK14" i="31"/>
  <c r="X58" i="31"/>
  <c r="AN52" i="31"/>
  <c r="AF11" i="31"/>
  <c r="S56" i="31"/>
  <c r="AF63" i="31"/>
  <c r="O83" i="17"/>
  <c r="AO58" i="31"/>
  <c r="AI56" i="31"/>
  <c r="K85" i="17"/>
  <c r="J105" i="17"/>
  <c r="O107" i="17"/>
  <c r="L64" i="31"/>
  <c r="L109" i="17" s="1"/>
  <c r="L26" i="31"/>
  <c r="L66" i="31" s="1"/>
  <c r="E107" i="17"/>
  <c r="AB64" i="31"/>
  <c r="AB26" i="31"/>
  <c r="AB66" i="31" s="1"/>
  <c r="AD52" i="31"/>
  <c r="R65" i="31"/>
  <c r="Z59" i="31"/>
  <c r="AM59" i="31" s="1"/>
  <c r="R61" i="31"/>
  <c r="AE61" i="31" s="1"/>
  <c r="Z63" i="31"/>
  <c r="AM63" i="31" s="1"/>
  <c r="X63" i="31"/>
  <c r="AK63" i="31" s="1"/>
  <c r="S65" i="31"/>
  <c r="E79" i="17"/>
  <c r="U65" i="31"/>
  <c r="Z65" i="31"/>
  <c r="AF60" i="31"/>
  <c r="AN14" i="31"/>
  <c r="AA58" i="31"/>
  <c r="AI14" i="31"/>
  <c r="V58" i="31"/>
  <c r="AE17" i="31"/>
  <c r="R60" i="31"/>
  <c r="R64" i="31"/>
  <c r="R26" i="31"/>
  <c r="R66" i="31" s="1"/>
  <c r="AN8" i="31"/>
  <c r="AA54" i="31"/>
  <c r="AM14" i="31"/>
  <c r="Z58" i="31"/>
  <c r="AK24" i="31"/>
  <c r="AH56" i="31"/>
  <c r="S64" i="31"/>
  <c r="S26" i="31"/>
  <c r="S66" i="31" s="1"/>
  <c r="AO65" i="31"/>
  <c r="R63" i="31"/>
  <c r="AE63" i="31" s="1"/>
  <c r="Q67" i="31"/>
  <c r="E65" i="31"/>
  <c r="AE59" i="31"/>
  <c r="AD8" i="31"/>
  <c r="D54" i="31"/>
  <c r="AJ11" i="31"/>
  <c r="W56" i="31"/>
  <c r="AM54" i="31"/>
  <c r="M99" i="17"/>
  <c r="AM11" i="31"/>
  <c r="Z56" i="31"/>
  <c r="O85" i="17"/>
  <c r="AO60" i="31"/>
  <c r="AF8" i="31"/>
  <c r="S54" i="31"/>
  <c r="AL11" i="31"/>
  <c r="Y56" i="31"/>
  <c r="AM62" i="31"/>
  <c r="AJ20" i="31"/>
  <c r="W62" i="31"/>
  <c r="AM18" i="31"/>
  <c r="O97" i="17"/>
  <c r="AL17" i="31"/>
  <c r="Y60" i="31"/>
  <c r="AL52" i="31"/>
  <c r="I103" i="17"/>
  <c r="G107" i="17"/>
  <c r="T64" i="31"/>
  <c r="T26" i="31"/>
  <c r="T66" i="31" s="1"/>
  <c r="G99" i="17"/>
  <c r="L105" i="17"/>
  <c r="N107" i="17"/>
  <c r="H107" i="17"/>
  <c r="E64" i="31"/>
  <c r="E109" i="17" s="1"/>
  <c r="E26" i="31"/>
  <c r="E66" i="31" s="1"/>
  <c r="AH8" i="31"/>
  <c r="U54" i="31"/>
  <c r="AG54" i="31"/>
  <c r="N85" i="17"/>
  <c r="AN60" i="31"/>
  <c r="AO62" i="31"/>
  <c r="Y64" i="31"/>
  <c r="Y26" i="31"/>
  <c r="Y66" i="31" s="1"/>
  <c r="AE62" i="31"/>
  <c r="N64" i="31"/>
  <c r="N26" i="31"/>
  <c r="N66" i="31" s="1"/>
  <c r="X64" i="31"/>
  <c r="X26" i="31"/>
  <c r="X66" i="31" s="1"/>
  <c r="M105" i="17"/>
  <c r="K97" i="17"/>
  <c r="AI8" i="31"/>
  <c r="I54" i="31"/>
  <c r="Z64" i="31"/>
  <c r="Z26" i="31"/>
  <c r="Z66" i="31" s="1"/>
  <c r="J64" i="31"/>
  <c r="J109" i="17" s="1"/>
  <c r="J26" i="31"/>
  <c r="J66" i="31" s="1"/>
  <c r="AF52" i="31"/>
  <c r="J83" i="17"/>
  <c r="AJ58" i="31"/>
  <c r="AK54" i="31"/>
  <c r="K65" i="31"/>
  <c r="X65" i="31"/>
  <c r="S61" i="31"/>
  <c r="AF61" i="31" s="1"/>
  <c r="H59" i="31"/>
  <c r="AH59" i="31" s="1"/>
  <c r="Y65" i="31"/>
  <c r="Z61" i="31"/>
  <c r="AM61" i="31" s="1"/>
  <c r="X59" i="31"/>
  <c r="AK59" i="31" s="1"/>
  <c r="AO8" i="31"/>
  <c r="AN11" i="31"/>
  <c r="AN20" i="31"/>
  <c r="AG21" i="31"/>
  <c r="AH20" i="31"/>
  <c r="AE23" i="31"/>
  <c r="AJ17" i="31"/>
  <c r="AK20" i="31"/>
  <c r="AH23" i="31"/>
  <c r="AL21" i="31"/>
  <c r="AI24" i="31"/>
  <c r="AG18" i="31"/>
  <c r="AO24" i="31"/>
  <c r="AF17" i="31"/>
  <c r="AO20" i="31"/>
  <c r="AL23" i="31"/>
  <c r="AI26" i="31"/>
  <c r="AO18" i="31"/>
  <c r="AG14" i="31"/>
  <c r="L34" i="31"/>
  <c r="L9" i="31" s="1"/>
  <c r="L55" i="31" s="1"/>
  <c r="L99" i="17" s="1"/>
  <c r="H36" i="31"/>
  <c r="H12" i="31" s="1"/>
  <c r="H57" i="31" s="1"/>
  <c r="H101" i="17" s="1"/>
  <c r="AF32" i="31"/>
  <c r="T36" i="31"/>
  <c r="T12" i="31" s="1"/>
  <c r="T57" i="31" s="1"/>
  <c r="G81" i="17" s="1"/>
  <c r="T34" i="31"/>
  <c r="T9" i="31" s="1"/>
  <c r="S34" i="31"/>
  <c r="S9" i="31" s="1"/>
  <c r="S55" i="31" s="1"/>
  <c r="O34" i="31"/>
  <c r="O9" i="31" s="1"/>
  <c r="O55" i="31" s="1"/>
  <c r="O99" i="17" s="1"/>
  <c r="U34" i="31"/>
  <c r="U9" i="31" s="1"/>
  <c r="U55" i="31" s="1"/>
  <c r="S32" i="31"/>
  <c r="S6" i="31" s="1"/>
  <c r="S53" i="31" s="1"/>
  <c r="F77" i="17" s="1"/>
  <c r="J34" i="31"/>
  <c r="J9" i="31" s="1"/>
  <c r="E34" i="31"/>
  <c r="E9" i="31" s="1"/>
  <c r="E55" i="31" s="1"/>
  <c r="E99" i="17" s="1"/>
  <c r="I36" i="31"/>
  <c r="I12" i="31" s="1"/>
  <c r="I57" i="31" s="1"/>
  <c r="AI15" i="31"/>
  <c r="Y32" i="31"/>
  <c r="Y6" i="31" s="1"/>
  <c r="Y53" i="31" s="1"/>
  <c r="L77" i="17" s="1"/>
  <c r="G36" i="31"/>
  <c r="G12" i="31" s="1"/>
  <c r="G57" i="31" s="1"/>
  <c r="G101" i="17" s="1"/>
  <c r="AG34" i="31"/>
  <c r="AB36" i="31"/>
  <c r="AB12" i="31" s="1"/>
  <c r="AB57" i="31" s="1"/>
  <c r="H34" i="31"/>
  <c r="H9" i="31" s="1"/>
  <c r="H55" i="31" s="1"/>
  <c r="H99" i="17" s="1"/>
  <c r="AF34" i="31"/>
  <c r="X34" i="31"/>
  <c r="X9" i="31" s="1"/>
  <c r="X55" i="31" s="1"/>
  <c r="K79" i="17" s="1"/>
  <c r="AE15" i="31"/>
  <c r="AP32" i="26"/>
  <c r="AP32" i="31" s="1"/>
  <c r="AP31" i="31"/>
  <c r="F34" i="31"/>
  <c r="F9" i="31" s="1"/>
  <c r="F55" i="31" s="1"/>
  <c r="E36" i="31"/>
  <c r="E12" i="31" s="1"/>
  <c r="AP46" i="26"/>
  <c r="AP46" i="31" s="1"/>
  <c r="AP45" i="31"/>
  <c r="F32" i="31"/>
  <c r="F6" i="31" s="1"/>
  <c r="F53" i="31" s="1"/>
  <c r="AG8" i="31"/>
  <c r="AN18" i="31"/>
  <c r="AN24" i="31"/>
  <c r="AK18" i="31"/>
  <c r="AK8" i="31"/>
  <c r="AI21" i="31"/>
  <c r="AF24" i="31"/>
  <c r="AA32" i="31"/>
  <c r="AA6" i="31" s="1"/>
  <c r="AA53" i="31" s="1"/>
  <c r="N77" i="17" s="1"/>
  <c r="Z36" i="31"/>
  <c r="Z12" i="31" s="1"/>
  <c r="N34" i="31"/>
  <c r="N9" i="31" s="1"/>
  <c r="N55" i="31" s="1"/>
  <c r="AB34" i="31"/>
  <c r="AB9" i="31" s="1"/>
  <c r="AB55" i="31" s="1"/>
  <c r="O79" i="17" s="1"/>
  <c r="K36" i="31"/>
  <c r="K12" i="31" s="1"/>
  <c r="K57" i="31" s="1"/>
  <c r="K101" i="17" s="1"/>
  <c r="J32" i="31"/>
  <c r="J6" i="31" s="1"/>
  <c r="J53" i="31" s="1"/>
  <c r="AJ53" i="31" s="1"/>
  <c r="M36" i="31"/>
  <c r="M12" i="31" s="1"/>
  <c r="M57" i="31" s="1"/>
  <c r="M67" i="31" s="1"/>
  <c r="U32" i="31"/>
  <c r="U6" i="31" s="1"/>
  <c r="U53" i="31" s="1"/>
  <c r="H77" i="17" s="1"/>
  <c r="X36" i="31"/>
  <c r="X12" i="31" s="1"/>
  <c r="X27" i="31" s="1"/>
  <c r="L36" i="31"/>
  <c r="L12" i="31" s="1"/>
  <c r="L57" i="31" s="1"/>
  <c r="L101" i="17" s="1"/>
  <c r="D44" i="26"/>
  <c r="D44" i="31" s="1"/>
  <c r="D24" i="31" s="1"/>
  <c r="D43" i="31"/>
  <c r="D23" i="31" s="1"/>
  <c r="AD23" i="31" s="1"/>
  <c r="N32" i="31"/>
  <c r="N6" i="31" s="1"/>
  <c r="N53" i="31" s="1"/>
  <c r="AN53" i="31" s="1"/>
  <c r="Y34" i="31"/>
  <c r="Y9" i="31" s="1"/>
  <c r="Y55" i="31" s="1"/>
  <c r="AL55" i="31" s="1"/>
  <c r="L32" i="31"/>
  <c r="L6" i="31" s="1"/>
  <c r="L53" i="31" s="1"/>
  <c r="O36" i="31"/>
  <c r="O12" i="31" s="1"/>
  <c r="O57" i="31" s="1"/>
  <c r="O101" i="17" s="1"/>
  <c r="Z34" i="31"/>
  <c r="Z9" i="31" s="1"/>
  <c r="V34" i="31"/>
  <c r="V9" i="31" s="1"/>
  <c r="V55" i="31" s="1"/>
  <c r="AP34" i="26"/>
  <c r="AP34" i="31" s="1"/>
  <c r="AP33" i="31"/>
  <c r="E32" i="31"/>
  <c r="E6" i="31" s="1"/>
  <c r="AP42" i="26"/>
  <c r="AP42" i="31" s="1"/>
  <c r="AP41" i="31"/>
  <c r="AN5" i="31"/>
  <c r="AH5" i="31"/>
  <c r="AK6" i="31"/>
  <c r="AK5" i="31"/>
  <c r="AM5" i="31"/>
  <c r="AL5" i="31"/>
  <c r="AM20" i="31"/>
  <c r="AI17" i="31"/>
  <c r="AG6" i="31"/>
  <c r="AG5" i="31"/>
  <c r="AI11" i="31"/>
  <c r="AG17" i="31"/>
  <c r="AD5" i="31"/>
  <c r="AG11" i="31"/>
  <c r="AE20" i="31"/>
  <c r="AO23" i="31"/>
  <c r="D40" i="26"/>
  <c r="D40" i="31" s="1"/>
  <c r="D18" i="31" s="1"/>
  <c r="D39" i="31"/>
  <c r="D17" i="31" s="1"/>
  <c r="D60" i="31" s="1"/>
  <c r="AD60" i="31" s="1"/>
  <c r="V36" i="31"/>
  <c r="V12" i="31" s="1"/>
  <c r="AG36" i="31"/>
  <c r="U36" i="31"/>
  <c r="U12" i="31" s="1"/>
  <c r="D46" i="26"/>
  <c r="D46" i="31" s="1"/>
  <c r="D45" i="31"/>
  <c r="AA34" i="31"/>
  <c r="AA9" i="31" s="1"/>
  <c r="I34" i="31"/>
  <c r="I9" i="31" s="1"/>
  <c r="I55" i="31" s="1"/>
  <c r="K34" i="31"/>
  <c r="K9" i="31" s="1"/>
  <c r="K55" i="31" s="1"/>
  <c r="K99" i="17" s="1"/>
  <c r="AP38" i="26"/>
  <c r="AP38" i="31" s="1"/>
  <c r="AP37" i="31"/>
  <c r="AG32" i="31"/>
  <c r="AN15" i="31"/>
  <c r="AA36" i="31"/>
  <c r="AA12" i="31" s="1"/>
  <c r="AF15" i="31"/>
  <c r="Z32" i="31"/>
  <c r="Z6" i="31" s="1"/>
  <c r="Z53" i="31" s="1"/>
  <c r="AM53" i="31" s="1"/>
  <c r="AH18" i="31"/>
  <c r="AL18" i="31"/>
  <c r="AI18" i="31"/>
  <c r="AF20" i="31"/>
  <c r="AM8" i="31"/>
  <c r="AM23" i="31"/>
  <c r="AH11" i="31"/>
  <c r="AG23" i="31"/>
  <c r="Y36" i="31"/>
  <c r="Y12" i="31" s="1"/>
  <c r="H32" i="31"/>
  <c r="H6" i="31" s="1"/>
  <c r="H53" i="31" s="1"/>
  <c r="D42" i="26"/>
  <c r="D42" i="31" s="1"/>
  <c r="D21" i="31" s="1"/>
  <c r="AD21" i="31" s="1"/>
  <c r="D41" i="31"/>
  <c r="D20" i="31" s="1"/>
  <c r="D62" i="31" s="1"/>
  <c r="AP40" i="26"/>
  <c r="AP40" i="31" s="1"/>
  <c r="AP39" i="31"/>
  <c r="J36" i="31"/>
  <c r="J12" i="31" s="1"/>
  <c r="F36" i="31"/>
  <c r="F12" i="31" s="1"/>
  <c r="F57" i="31" s="1"/>
  <c r="F101" i="17" s="1"/>
  <c r="AP44" i="26"/>
  <c r="AP44" i="31" s="1"/>
  <c r="AP43" i="31"/>
  <c r="AI6" i="31"/>
  <c r="AI5" i="31"/>
  <c r="AJ5" i="31"/>
  <c r="AO17" i="31"/>
  <c r="AO6" i="31"/>
  <c r="AO5" i="31"/>
  <c r="AN17" i="31"/>
  <c r="AN23" i="31"/>
  <c r="AF21" i="31"/>
  <c r="AM24" i="31"/>
  <c r="AO14" i="31"/>
  <c r="AF5" i="31"/>
  <c r="AL8" i="31"/>
  <c r="AJ14" i="31"/>
  <c r="AF23" i="31"/>
  <c r="AK23" i="31"/>
  <c r="Q7" i="17"/>
  <c r="D38" i="26"/>
  <c r="D38" i="31" s="1"/>
  <c r="D15" i="31" s="1"/>
  <c r="AD15" i="31" s="1"/>
  <c r="D36" i="26"/>
  <c r="D34" i="26"/>
  <c r="D32" i="26"/>
  <c r="AN6" i="31" l="1"/>
  <c r="AK60" i="31"/>
  <c r="AL53" i="31"/>
  <c r="O87" i="17"/>
  <c r="AF26" i="31"/>
  <c r="J27" i="31"/>
  <c r="AJ27" i="31" s="1"/>
  <c r="J11" i="17" s="1"/>
  <c r="AD17" i="31"/>
  <c r="AJ6" i="31"/>
  <c r="AH26" i="31"/>
  <c r="AF6" i="31"/>
  <c r="V27" i="31"/>
  <c r="S27" i="31"/>
  <c r="AH53" i="31"/>
  <c r="AE9" i="31"/>
  <c r="I67" i="31"/>
  <c r="I68" i="17" s="1"/>
  <c r="AN26" i="31"/>
  <c r="K87" i="17"/>
  <c r="H97" i="17"/>
  <c r="W67" i="31"/>
  <c r="J65" i="17" s="1"/>
  <c r="N87" i="17"/>
  <c r="K109" i="17"/>
  <c r="T27" i="31"/>
  <c r="AH12" i="31"/>
  <c r="U57" i="31"/>
  <c r="U67" i="31" s="1"/>
  <c r="L27" i="31"/>
  <c r="AK66" i="31"/>
  <c r="K9" i="17" s="1"/>
  <c r="AK26" i="31"/>
  <c r="G67" i="31"/>
  <c r="AI58" i="31"/>
  <c r="I83" i="17"/>
  <c r="AH65" i="31"/>
  <c r="AF56" i="31"/>
  <c r="F81" i="17"/>
  <c r="AO26" i="31"/>
  <c r="L87" i="17"/>
  <c r="AL62" i="31"/>
  <c r="L67" i="31"/>
  <c r="L68" i="17" s="1"/>
  <c r="AF12" i="31"/>
  <c r="AJ12" i="31"/>
  <c r="J57" i="31"/>
  <c r="J67" i="31" s="1"/>
  <c r="AN12" i="31"/>
  <c r="AA57" i="31"/>
  <c r="AN9" i="31"/>
  <c r="AA55" i="31"/>
  <c r="AN55" i="31" s="1"/>
  <c r="AM6" i="31"/>
  <c r="AH6" i="31"/>
  <c r="AI55" i="31"/>
  <c r="I79" i="17"/>
  <c r="AM12" i="31"/>
  <c r="Z57" i="31"/>
  <c r="AM57" i="31" s="1"/>
  <c r="AJ9" i="31"/>
  <c r="J55" i="31"/>
  <c r="AK65" i="31"/>
  <c r="K89" i="17"/>
  <c r="AK64" i="31"/>
  <c r="E87" i="17"/>
  <c r="AL60" i="31"/>
  <c r="L85" i="17"/>
  <c r="AG26" i="31"/>
  <c r="AJ56" i="31"/>
  <c r="J81" i="17"/>
  <c r="AD54" i="31"/>
  <c r="E89" i="17"/>
  <c r="AE64" i="31"/>
  <c r="F85" i="17"/>
  <c r="G27" i="31"/>
  <c r="O89" i="17"/>
  <c r="AO64" i="31"/>
  <c r="I27" i="31"/>
  <c r="N97" i="17"/>
  <c r="F27" i="31"/>
  <c r="J79" i="17"/>
  <c r="AJ54" i="31"/>
  <c r="AD62" i="31"/>
  <c r="H67" i="31"/>
  <c r="M101" i="17"/>
  <c r="L79" i="17"/>
  <c r="L97" i="17"/>
  <c r="AI66" i="31"/>
  <c r="I9" i="17" s="1"/>
  <c r="J103" i="17"/>
  <c r="AJ66" i="31"/>
  <c r="J9" i="17" s="1"/>
  <c r="AM26" i="31"/>
  <c r="AK56" i="31"/>
  <c r="AH60" i="31"/>
  <c r="H85" i="17"/>
  <c r="L83" i="17"/>
  <c r="AL58" i="31"/>
  <c r="O67" i="31"/>
  <c r="O68" i="17" s="1"/>
  <c r="AD24" i="31"/>
  <c r="D65" i="31"/>
  <c r="AI54" i="31"/>
  <c r="I99" i="17"/>
  <c r="AJ26" i="31"/>
  <c r="AF64" i="31"/>
  <c r="F89" i="17"/>
  <c r="AM58" i="31"/>
  <c r="M83" i="17"/>
  <c r="AO66" i="31"/>
  <c r="O9" i="17" s="1"/>
  <c r="N67" i="31"/>
  <c r="AI12" i="31"/>
  <c r="V57" i="31"/>
  <c r="AE26" i="31"/>
  <c r="AL6" i="31"/>
  <c r="E53" i="31"/>
  <c r="AE6" i="31"/>
  <c r="AM9" i="31"/>
  <c r="Z55" i="31"/>
  <c r="Z67" i="31" s="1"/>
  <c r="AK12" i="31"/>
  <c r="X57" i="31"/>
  <c r="AK57" i="31" s="1"/>
  <c r="AE12" i="31"/>
  <c r="E57" i="31"/>
  <c r="E67" i="31" s="1"/>
  <c r="AO57" i="31"/>
  <c r="AG9" i="31"/>
  <c r="T55" i="31"/>
  <c r="AL65" i="31"/>
  <c r="K67" i="31"/>
  <c r="AM66" i="31"/>
  <c r="M9" i="17" s="1"/>
  <c r="AL66" i="31"/>
  <c r="L9" i="17" s="1"/>
  <c r="H79" i="17"/>
  <c r="AH54" i="31"/>
  <c r="AG66" i="31"/>
  <c r="G9" i="17" s="1"/>
  <c r="J87" i="17"/>
  <c r="AJ62" i="31"/>
  <c r="F79" i="17"/>
  <c r="AF54" i="31"/>
  <c r="M81" i="17"/>
  <c r="AM56" i="31"/>
  <c r="M27" i="31"/>
  <c r="AB67" i="31"/>
  <c r="AN54" i="31"/>
  <c r="E85" i="17"/>
  <c r="AE60" i="31"/>
  <c r="AN58" i="31"/>
  <c r="N83" i="17"/>
  <c r="D63" i="31"/>
  <c r="AD63" i="31" s="1"/>
  <c r="S67" i="31"/>
  <c r="F65" i="17" s="1"/>
  <c r="AF65" i="31"/>
  <c r="O27" i="31"/>
  <c r="AA27" i="31"/>
  <c r="O81" i="17"/>
  <c r="AO56" i="31"/>
  <c r="J97" i="17"/>
  <c r="M85" i="17"/>
  <c r="AM60" i="31"/>
  <c r="AD56" i="31"/>
  <c r="I89" i="17"/>
  <c r="AI64" i="31"/>
  <c r="AH66" i="31"/>
  <c r="H9" i="17" s="1"/>
  <c r="D65" i="17"/>
  <c r="N27" i="31"/>
  <c r="F83" i="17"/>
  <c r="AF58" i="31"/>
  <c r="AF57" i="31"/>
  <c r="AA67" i="31"/>
  <c r="AD18" i="31"/>
  <c r="D61" i="31"/>
  <c r="AD61" i="31" s="1"/>
  <c r="AL56" i="31"/>
  <c r="AE66" i="31"/>
  <c r="E9" i="17" s="1"/>
  <c r="AG65" i="31"/>
  <c r="AN64" i="31"/>
  <c r="N89" i="17"/>
  <c r="AJ64" i="31"/>
  <c r="J89" i="17"/>
  <c r="AG62" i="31"/>
  <c r="G87" i="17"/>
  <c r="AD58" i="31"/>
  <c r="AD20" i="31"/>
  <c r="AL12" i="31"/>
  <c r="Y57" i="31"/>
  <c r="AL57" i="31" s="1"/>
  <c r="D64" i="31"/>
  <c r="D26" i="31"/>
  <c r="AO55" i="31"/>
  <c r="AF53" i="31"/>
  <c r="F97" i="17"/>
  <c r="AF55" i="31"/>
  <c r="F99" i="17"/>
  <c r="AK55" i="31"/>
  <c r="AH55" i="31"/>
  <c r="AG57" i="31"/>
  <c r="AB27" i="31"/>
  <c r="N99" i="17"/>
  <c r="M89" i="17"/>
  <c r="AM64" i="31"/>
  <c r="N109" i="17"/>
  <c r="L89" i="17"/>
  <c r="AL64" i="31"/>
  <c r="G89" i="17"/>
  <c r="AG64" i="31"/>
  <c r="H103" i="17"/>
  <c r="M87" i="17"/>
  <c r="AF66" i="31"/>
  <c r="F9" i="17" s="1"/>
  <c r="AM65" i="31"/>
  <c r="AE65" i="31"/>
  <c r="R67" i="31"/>
  <c r="AL26" i="31"/>
  <c r="H27" i="31"/>
  <c r="K83" i="17"/>
  <c r="AK58" i="31"/>
  <c r="U27" i="31"/>
  <c r="M77" i="17"/>
  <c r="I101" i="17"/>
  <c r="M68" i="17"/>
  <c r="AE55" i="31"/>
  <c r="E27" i="31"/>
  <c r="AE27" i="31" s="1"/>
  <c r="E11" i="17" s="1"/>
  <c r="K27" i="31"/>
  <c r="AK27" i="31" s="1"/>
  <c r="K11" i="17" s="1"/>
  <c r="AN66" i="31"/>
  <c r="N9" i="17" s="1"/>
  <c r="H89" i="17"/>
  <c r="AH64" i="31"/>
  <c r="J85" i="17"/>
  <c r="D59" i="31"/>
  <c r="AD59" i="31" s="1"/>
  <c r="K68" i="17"/>
  <c r="Z27" i="31"/>
  <c r="AM27" i="31" s="1"/>
  <c r="M11" i="17" s="1"/>
  <c r="Y27" i="31"/>
  <c r="H83" i="17"/>
  <c r="AH58" i="31"/>
  <c r="F67" i="31"/>
  <c r="AL9" i="31"/>
  <c r="AO9" i="31"/>
  <c r="D34" i="31"/>
  <c r="D9" i="31" s="1"/>
  <c r="AI9" i="31"/>
  <c r="AO12" i="31"/>
  <c r="AG12" i="31"/>
  <c r="D32" i="31"/>
  <c r="D6" i="31" s="1"/>
  <c r="D36" i="31"/>
  <c r="D12" i="31" s="1"/>
  <c r="AK9" i="31"/>
  <c r="AH9" i="31"/>
  <c r="AF9" i="31"/>
  <c r="D105" i="17" l="1"/>
  <c r="N79" i="17"/>
  <c r="AG27" i="31"/>
  <c r="G11" i="17" s="1"/>
  <c r="AI27" i="31"/>
  <c r="I11" i="17" s="1"/>
  <c r="AF27" i="31"/>
  <c r="F11" i="17" s="1"/>
  <c r="AL27" i="31"/>
  <c r="L11" i="17" s="1"/>
  <c r="E68" i="17"/>
  <c r="H65" i="17"/>
  <c r="AM67" i="31"/>
  <c r="M62" i="17" s="1"/>
  <c r="AE67" i="31"/>
  <c r="AO27" i="31"/>
  <c r="O11" i="17" s="1"/>
  <c r="D67" i="17"/>
  <c r="J67" i="17"/>
  <c r="F68" i="17"/>
  <c r="K70" i="17"/>
  <c r="F67" i="17"/>
  <c r="O70" i="17"/>
  <c r="K81" i="17"/>
  <c r="G68" i="17"/>
  <c r="N68" i="17"/>
  <c r="H68" i="17"/>
  <c r="D107" i="17"/>
  <c r="L70" i="17"/>
  <c r="I70" i="17"/>
  <c r="M70" i="17"/>
  <c r="AN67" i="31"/>
  <c r="AJ67" i="31"/>
  <c r="J62" i="17" s="1"/>
  <c r="J68" i="17"/>
  <c r="E65" i="17"/>
  <c r="AN27" i="31"/>
  <c r="N11" i="17" s="1"/>
  <c r="E62" i="17"/>
  <c r="AF67" i="31"/>
  <c r="F62" i="17" s="1"/>
  <c r="AO67" i="31"/>
  <c r="O62" i="17" s="1"/>
  <c r="AI57" i="31"/>
  <c r="V67" i="31"/>
  <c r="I81" i="17"/>
  <c r="AN57" i="31"/>
  <c r="N81" i="17"/>
  <c r="D53" i="31"/>
  <c r="AD6" i="31"/>
  <c r="AG55" i="31"/>
  <c r="G79" i="17"/>
  <c r="N62" i="17"/>
  <c r="AH27" i="31"/>
  <c r="H11" i="17" s="1"/>
  <c r="D66" i="31"/>
  <c r="AD26" i="31"/>
  <c r="E97" i="17"/>
  <c r="AE53" i="31"/>
  <c r="AD65" i="31"/>
  <c r="X67" i="31"/>
  <c r="AH57" i="31"/>
  <c r="H81" i="17"/>
  <c r="AD9" i="31"/>
  <c r="D55" i="31"/>
  <c r="AD12" i="31"/>
  <c r="D57" i="31"/>
  <c r="N65" i="17"/>
  <c r="AD64" i="31"/>
  <c r="D109" i="17"/>
  <c r="D103" i="17"/>
  <c r="T67" i="31"/>
  <c r="L81" i="17"/>
  <c r="M65" i="17"/>
  <c r="Y67" i="31"/>
  <c r="E101" i="17"/>
  <c r="AE57" i="31"/>
  <c r="AM55" i="31"/>
  <c r="M79" i="17"/>
  <c r="O65" i="17"/>
  <c r="D27" i="31"/>
  <c r="AD27" i="31" s="1"/>
  <c r="D11" i="17" s="1"/>
  <c r="AJ55" i="31"/>
  <c r="J99" i="17"/>
  <c r="J101" i="17"/>
  <c r="AJ57" i="31"/>
  <c r="AH67" i="31"/>
  <c r="H62" i="17" s="1"/>
  <c r="P8" i="17"/>
  <c r="P5" i="17" s="1"/>
  <c r="E67" i="17" l="1"/>
  <c r="J70" i="17"/>
  <c r="H70" i="17"/>
  <c r="G70" i="17"/>
  <c r="M67" i="17"/>
  <c r="N70" i="17"/>
  <c r="F70" i="17"/>
  <c r="O67" i="17"/>
  <c r="N67" i="17"/>
  <c r="H67" i="17"/>
  <c r="E70" i="17"/>
  <c r="AL67" i="31"/>
  <c r="L62" i="17" s="1"/>
  <c r="L65" i="17"/>
  <c r="AD57" i="31"/>
  <c r="D101" i="17"/>
  <c r="AK67" i="31"/>
  <c r="K62" i="17" s="1"/>
  <c r="K65" i="17"/>
  <c r="AD53" i="31"/>
  <c r="D97" i="17"/>
  <c r="D67" i="31"/>
  <c r="AD66" i="31"/>
  <c r="D9" i="17" s="1"/>
  <c r="AI67" i="31"/>
  <c r="I62" i="17" s="1"/>
  <c r="I65" i="17"/>
  <c r="AG67" i="31"/>
  <c r="G62" i="17" s="1"/>
  <c r="G65" i="17"/>
  <c r="AD55" i="31"/>
  <c r="D99" i="17"/>
  <c r="P7" i="17"/>
  <c r="AD67" i="31" l="1"/>
  <c r="I67" i="17"/>
  <c r="G67" i="17"/>
  <c r="D62" i="17"/>
  <c r="K67" i="17"/>
  <c r="L67" i="17"/>
  <c r="D68" i="17"/>
  <c r="D95" i="17" l="1"/>
  <c r="D70" i="17"/>
  <c r="J13" i="17"/>
  <c r="F13" i="17"/>
  <c r="E13" i="17"/>
  <c r="K13" i="17"/>
  <c r="K10" i="17" s="1"/>
  <c r="D13" i="17"/>
  <c r="G13" i="17"/>
  <c r="G64" i="17" s="1"/>
  <c r="N13" i="17"/>
  <c r="I13" i="17"/>
  <c r="I10" i="17" s="1"/>
  <c r="J12" i="17" l="1"/>
  <c r="N10" i="17"/>
  <c r="E10" i="17"/>
  <c r="F10" i="17"/>
  <c r="D96" i="17"/>
  <c r="D108" i="17"/>
  <c r="D106" i="17"/>
  <c r="D104" i="17"/>
  <c r="D110" i="17"/>
  <c r="D100" i="17"/>
  <c r="D98" i="17"/>
  <c r="D102" i="17"/>
  <c r="K64" i="17"/>
  <c r="D10" i="17"/>
  <c r="D64" i="17"/>
  <c r="N64" i="17"/>
  <c r="E64" i="17"/>
  <c r="I64" i="17"/>
  <c r="F64" i="17"/>
  <c r="J64" i="17"/>
  <c r="P13" i="17"/>
  <c r="O13" i="17"/>
  <c r="F12" i="17"/>
  <c r="N12" i="17"/>
  <c r="D12" i="17"/>
  <c r="J10" i="17"/>
  <c r="G10" i="17"/>
  <c r="G12" i="17"/>
  <c r="L13" i="17"/>
  <c r="M13" i="17"/>
  <c r="H13" i="17"/>
  <c r="K12" i="17"/>
  <c r="E12" i="17"/>
  <c r="I12" i="17"/>
  <c r="P10" i="17" l="1"/>
  <c r="P64" i="17"/>
  <c r="M10" i="17"/>
  <c r="M64" i="17"/>
  <c r="O10" i="17"/>
  <c r="O64" i="17"/>
  <c r="H10" i="17"/>
  <c r="H64" i="17"/>
  <c r="L10" i="17"/>
  <c r="L64" i="17"/>
  <c r="O12" i="17"/>
  <c r="P12" i="17"/>
  <c r="M12" i="17"/>
  <c r="H12" i="17"/>
  <c r="L12" i="17"/>
  <c r="J8" i="17" l="1"/>
  <c r="J5" i="17" s="1"/>
  <c r="I8" i="17"/>
  <c r="I5" i="17" s="1"/>
  <c r="L8" i="17"/>
  <c r="L7" i="17" s="1"/>
  <c r="M8" i="17"/>
  <c r="M5" i="17" s="1"/>
  <c r="E8" i="17"/>
  <c r="E5" i="17" s="1"/>
  <c r="O8" i="17"/>
  <c r="O5" i="17" s="1"/>
  <c r="H8" i="17"/>
  <c r="H5" i="17" s="1"/>
  <c r="F8" i="17"/>
  <c r="F5" i="17" s="1"/>
  <c r="K8" i="17"/>
  <c r="K5" i="17" s="1"/>
  <c r="G8" i="17"/>
  <c r="G5" i="17" s="1"/>
  <c r="N8" i="17"/>
  <c r="N5" i="17" s="1"/>
  <c r="D8" i="17"/>
  <c r="D5" i="17" s="1"/>
  <c r="N75" i="17" l="1"/>
  <c r="I7" i="17"/>
  <c r="J7" i="17"/>
  <c r="H7" i="17"/>
  <c r="M7" i="17"/>
  <c r="E7" i="17"/>
  <c r="G7" i="17"/>
  <c r="N7" i="17"/>
  <c r="O7" i="17"/>
  <c r="F7" i="17"/>
  <c r="L5" i="17"/>
  <c r="K7" i="17"/>
  <c r="D7" i="17"/>
  <c r="N76" i="17" l="1"/>
  <c r="N84" i="17"/>
  <c r="N82" i="17"/>
  <c r="N90" i="17"/>
  <c r="N80" i="17"/>
  <c r="N88" i="17"/>
  <c r="N78" i="17"/>
  <c r="N86" i="17"/>
  <c r="O75" i="17"/>
  <c r="F75" i="17"/>
  <c r="M75" i="17"/>
  <c r="H75" i="17"/>
  <c r="L75" i="17"/>
  <c r="I75" i="17"/>
  <c r="K75" i="17"/>
  <c r="E75" i="17"/>
  <c r="J75" i="17"/>
  <c r="D75" i="17"/>
  <c r="E95" i="17"/>
  <c r="G95" i="17"/>
  <c r="N95" i="17"/>
  <c r="F95" i="17"/>
  <c r="F96" i="17" l="1"/>
  <c r="F102" i="17"/>
  <c r="F110" i="17"/>
  <c r="F100" i="17"/>
  <c r="F108" i="17"/>
  <c r="F98" i="17"/>
  <c r="F106" i="17"/>
  <c r="F104" i="17"/>
  <c r="E96" i="17"/>
  <c r="E98" i="17"/>
  <c r="E106" i="17"/>
  <c r="E104" i="17"/>
  <c r="E102" i="17"/>
  <c r="E110" i="17"/>
  <c r="E100" i="17"/>
  <c r="E108" i="17"/>
  <c r="O76" i="17"/>
  <c r="O78" i="17"/>
  <c r="O86" i="17"/>
  <c r="O84" i="17"/>
  <c r="O82" i="17"/>
  <c r="O90" i="17"/>
  <c r="O80" i="17"/>
  <c r="O88" i="17"/>
  <c r="G96" i="17"/>
  <c r="G104" i="17"/>
  <c r="G102" i="17"/>
  <c r="G110" i="17"/>
  <c r="G100" i="17"/>
  <c r="G108" i="17"/>
  <c r="G98" i="17"/>
  <c r="G106" i="17"/>
  <c r="D84" i="17"/>
  <c r="D76" i="17"/>
  <c r="D90" i="17"/>
  <c r="D82" i="17"/>
  <c r="D88" i="17"/>
  <c r="D78" i="17"/>
  <c r="D86" i="17"/>
  <c r="D80" i="17"/>
  <c r="J76" i="17"/>
  <c r="J82" i="17"/>
  <c r="J90" i="17"/>
  <c r="J80" i="17"/>
  <c r="J88" i="17"/>
  <c r="J78" i="17"/>
  <c r="J86" i="17"/>
  <c r="J84" i="17"/>
  <c r="K76" i="17"/>
  <c r="K84" i="17"/>
  <c r="K82" i="17"/>
  <c r="K90" i="17"/>
  <c r="K80" i="17"/>
  <c r="K88" i="17"/>
  <c r="K78" i="17"/>
  <c r="K86" i="17"/>
  <c r="L76" i="17"/>
  <c r="L82" i="17"/>
  <c r="L90" i="17"/>
  <c r="L80" i="17"/>
  <c r="L88" i="17"/>
  <c r="L78" i="17"/>
  <c r="L86" i="17"/>
  <c r="L84" i="17"/>
  <c r="M76" i="17"/>
  <c r="M80" i="17"/>
  <c r="M88" i="17"/>
  <c r="M78" i="17"/>
  <c r="M86" i="17"/>
  <c r="M84" i="17"/>
  <c r="M82" i="17"/>
  <c r="M90" i="17"/>
  <c r="N96" i="17"/>
  <c r="N98" i="17"/>
  <c r="N106" i="17"/>
  <c r="N104" i="17"/>
  <c r="N102" i="17"/>
  <c r="N110" i="17"/>
  <c r="N100" i="17"/>
  <c r="N108" i="17"/>
  <c r="E76" i="17"/>
  <c r="E84" i="17"/>
  <c r="E82" i="17"/>
  <c r="E90" i="17"/>
  <c r="E80" i="17"/>
  <c r="E88" i="17"/>
  <c r="E78" i="17"/>
  <c r="E86" i="17"/>
  <c r="I76" i="17"/>
  <c r="I78" i="17"/>
  <c r="I86" i="17"/>
  <c r="I84" i="17"/>
  <c r="I82" i="17"/>
  <c r="I90" i="17"/>
  <c r="I80" i="17"/>
  <c r="I88" i="17"/>
  <c r="H76" i="17"/>
  <c r="H80" i="17"/>
  <c r="H88" i="17"/>
  <c r="H78" i="17"/>
  <c r="H86" i="17"/>
  <c r="H84" i="17"/>
  <c r="H82" i="17"/>
  <c r="H90" i="17"/>
  <c r="F76" i="17"/>
  <c r="F80" i="17"/>
  <c r="F88" i="17"/>
  <c r="F78" i="17"/>
  <c r="F86" i="17"/>
  <c r="F84" i="17"/>
  <c r="F82" i="17"/>
  <c r="F90" i="17"/>
  <c r="G75" i="17"/>
  <c r="P75" i="17"/>
  <c r="I95" i="17"/>
  <c r="K95" i="17"/>
  <c r="M95" i="17"/>
  <c r="P95" i="17"/>
  <c r="L95" i="17"/>
  <c r="J95" i="17"/>
  <c r="H95" i="17"/>
  <c r="O95" i="17"/>
  <c r="P96" i="17" l="1"/>
  <c r="P98" i="17"/>
  <c r="P106" i="17"/>
  <c r="P104" i="17"/>
  <c r="P102" i="17"/>
  <c r="P110" i="17"/>
  <c r="P100" i="17"/>
  <c r="P108" i="17"/>
  <c r="G76" i="17"/>
  <c r="G82" i="17"/>
  <c r="G90" i="17"/>
  <c r="G80" i="17"/>
  <c r="G88" i="17"/>
  <c r="G78" i="17"/>
  <c r="G86" i="17"/>
  <c r="G84" i="17"/>
  <c r="M96" i="17"/>
  <c r="M102" i="17"/>
  <c r="M110" i="17"/>
  <c r="M100" i="17"/>
  <c r="M108" i="17"/>
  <c r="M98" i="17"/>
  <c r="M106" i="17"/>
  <c r="M104" i="17"/>
  <c r="J96" i="17"/>
  <c r="J104" i="17"/>
  <c r="J102" i="17"/>
  <c r="J110" i="17"/>
  <c r="J100" i="17"/>
  <c r="J108" i="17"/>
  <c r="J98" i="17"/>
  <c r="J106" i="17"/>
  <c r="K96" i="17"/>
  <c r="K98" i="17"/>
  <c r="K106" i="17"/>
  <c r="K104" i="17"/>
  <c r="K102" i="17"/>
  <c r="K110" i="17"/>
  <c r="K100" i="17"/>
  <c r="K108" i="17"/>
  <c r="P76" i="17"/>
  <c r="P84" i="17"/>
  <c r="P82" i="17"/>
  <c r="P90" i="17"/>
  <c r="P80" i="17"/>
  <c r="P88" i="17"/>
  <c r="P78" i="17"/>
  <c r="P86" i="17"/>
  <c r="O96" i="17"/>
  <c r="O100" i="17"/>
  <c r="O108" i="17"/>
  <c r="O98" i="17"/>
  <c r="O106" i="17"/>
  <c r="O104" i="17"/>
  <c r="O102" i="17"/>
  <c r="O110" i="17"/>
  <c r="L96" i="17"/>
  <c r="L104" i="17"/>
  <c r="L102" i="17"/>
  <c r="L110" i="17"/>
  <c r="L100" i="17"/>
  <c r="L108" i="17"/>
  <c r="L98" i="17"/>
  <c r="L106" i="17"/>
  <c r="I96" i="17"/>
  <c r="I100" i="17"/>
  <c r="I108" i="17"/>
  <c r="I98" i="17"/>
  <c r="I106" i="17"/>
  <c r="I104" i="17"/>
  <c r="I102" i="17"/>
  <c r="I110" i="17"/>
  <c r="H96" i="17"/>
  <c r="H102" i="17"/>
  <c r="H110" i="17"/>
  <c r="H100" i="17"/>
  <c r="H108" i="17"/>
  <c r="H98" i="17"/>
  <c r="H106" i="17"/>
  <c r="H104" i="17"/>
</calcChain>
</file>

<file path=xl/sharedStrings.xml><?xml version="1.0" encoding="utf-8"?>
<sst xmlns="http://schemas.openxmlformats.org/spreadsheetml/2006/main" count="3156" uniqueCount="547">
  <si>
    <t>Coluna</t>
  </si>
  <si>
    <t>Ano</t>
  </si>
  <si>
    <t>Clientela</t>
  </si>
  <si>
    <t>Total</t>
  </si>
  <si>
    <t>Urbana</t>
  </si>
  <si>
    <t>Abaixo de 1</t>
  </si>
  <si>
    <t>Igual a 1</t>
  </si>
  <si>
    <t>Acima de 1 Até 2</t>
  </si>
  <si>
    <t>Acima de 2 Até 3</t>
  </si>
  <si>
    <t>Acima de 3 Até 4</t>
  </si>
  <si>
    <t>Acima de 4 Até 5</t>
  </si>
  <si>
    <t>Acima de 5 Até 6</t>
  </si>
  <si>
    <t>Acima de 6 Até 7</t>
  </si>
  <si>
    <t>Acima de 7 Até 8</t>
  </si>
  <si>
    <t>Acima de 8 Até 9</t>
  </si>
  <si>
    <t>Acima de 9 Até 10</t>
  </si>
  <si>
    <t>Acima de 10 Até 20</t>
  </si>
  <si>
    <t>Acima de 20 Até 50</t>
  </si>
  <si>
    <t>Acima de 50</t>
  </si>
  <si>
    <t>Rural</t>
  </si>
  <si>
    <t>Valor</t>
  </si>
  <si>
    <t>Faixa de Valor</t>
  </si>
  <si>
    <t>Até 1SM</t>
  </si>
  <si>
    <t xml:space="preserve">   Aposentadoria por Invalidez</t>
  </si>
  <si>
    <t xml:space="preserve">   Pensão por Morte</t>
  </si>
  <si>
    <t xml:space="preserve">   Outros</t>
  </si>
  <si>
    <t>Dezembro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</si>
  <si>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</si>
  <si>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</si>
  <si>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</si>
  <si>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</si>
  <si>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</si>
  <si>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</si>
  <si>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</si>
  <si>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</si>
  <si>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</si>
  <si>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</si>
  <si>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TOTAL</t>
  </si>
  <si>
    <t>1SM</t>
  </si>
  <si>
    <t>Acima</t>
  </si>
  <si>
    <t>Acima de 1SM</t>
  </si>
  <si>
    <t>urbana</t>
  </si>
  <si>
    <t>Demais</t>
  </si>
  <si>
    <t>&lt; 1</t>
  </si>
  <si>
    <t>= 1</t>
  </si>
  <si>
    <t>rural</t>
  </si>
  <si>
    <t>Qte</t>
  </si>
  <si>
    <t>Quantidade (em mil)</t>
  </si>
  <si>
    <t xml:space="preserve">   Aposentadoria por  Idade</t>
  </si>
  <si>
    <t xml:space="preserve">   Auxílio-Doença</t>
  </si>
  <si>
    <t xml:space="preserve">   Auxílio-Acidente</t>
  </si>
  <si>
    <t>Fonte: AEPS (vários anos).</t>
  </si>
  <si>
    <t>Gasto Social Previdenciário</t>
  </si>
  <si>
    <t xml:space="preserve">   Aposentadoria por TC</t>
  </si>
  <si>
    <t>GSP Rural</t>
  </si>
  <si>
    <t>GSP Urbano</t>
  </si>
  <si>
    <t>RURAL</t>
  </si>
  <si>
    <t>% PIB</t>
  </si>
  <si>
    <t>GSP/GP Rural</t>
  </si>
  <si>
    <t>GSP/GP Urbano</t>
  </si>
  <si>
    <t>GSP/GP Total</t>
  </si>
  <si>
    <t>GSP Total</t>
  </si>
  <si>
    <t>Fonte: AEPS (vários anos) até 2014; BEPS (vários meses) e cálculos próprios para 2015.</t>
  </si>
  <si>
    <t>2015- tabela 13 do BEPS de cada mês de 2014 - coluna: Benefícios do RGPS</t>
  </si>
  <si>
    <t>Valor 
(projeções)</t>
  </si>
  <si>
    <t>2015</t>
  </si>
  <si>
    <r>
      <t xml:space="preserve">Novembro </t>
    </r>
    <r>
      <rPr>
        <vertAlign val="superscript"/>
        <sz val="8"/>
        <color indexed="8"/>
        <rFont val="Arial"/>
        <family val="2"/>
      </rPr>
      <t>(1)</t>
    </r>
  </si>
  <si>
    <r>
      <t xml:space="preserve">Subtotal </t>
    </r>
    <r>
      <rPr>
        <b/>
        <vertAlign val="superscript"/>
        <sz val="8"/>
        <color indexed="8"/>
        <rFont val="Arial"/>
        <family val="2"/>
      </rPr>
      <t>(2)</t>
    </r>
  </si>
  <si>
    <t>valor</t>
  </si>
  <si>
    <t>Valor (R$ bi)</t>
  </si>
  <si>
    <t>BENEFÍCIOS DO RGPS</t>
  </si>
  <si>
    <t>Auxílios</t>
  </si>
  <si>
    <t>Doença</t>
  </si>
  <si>
    <t>Acidente</t>
  </si>
  <si>
    <t>Salário-Maternidade</t>
  </si>
  <si>
    <t>Acidentários</t>
  </si>
  <si>
    <t>Pensão por Morte</t>
  </si>
  <si>
    <t>Classe/Grupos de Espécies</t>
  </si>
  <si>
    <t>    Tempo de Contribuição</t>
  </si>
  <si>
    <t>    Idade</t>
  </si>
  <si>
    <t>    Invalidez</t>
  </si>
  <si>
    <t>  Pensões por Morte</t>
  </si>
  <si>
    <t>  Auxílios</t>
  </si>
  <si>
    <t>    Doença</t>
  </si>
  <si>
    <t>    Reclusão</t>
  </si>
  <si>
    <t>    Acidente</t>
  </si>
  <si>
    <t>  Outros</t>
  </si>
  <si>
    <t>    Salário-Família</t>
  </si>
  <si>
    <t>    Abono de Permanência</t>
  </si>
  <si>
    <t>    Vantagem do Servidor</t>
  </si>
  <si>
    <t>Aposentadoria por Invalidez</t>
  </si>
  <si>
    <t>Suplementar</t>
  </si>
  <si>
    <t>Valor - posição de dezembro</t>
  </si>
  <si>
    <t>Qte - posição de dezembro</t>
  </si>
  <si>
    <t>Quantidade</t>
  </si>
  <si>
    <t>Até1</t>
  </si>
  <si>
    <t>Mais de 1</t>
  </si>
  <si>
    <t>URBANA</t>
  </si>
  <si>
    <t>Fonte: AEPS (vários anos) e BEPS (2014-2015).</t>
  </si>
  <si>
    <t>Parcela até 1 S.M.</t>
  </si>
  <si>
    <t>Salário Mínimo</t>
  </si>
  <si>
    <t>Gasto Social (Posição de Dezembro)</t>
  </si>
  <si>
    <t>URBANO</t>
  </si>
  <si>
    <t>Gasto Social (Posição do Ano)</t>
  </si>
  <si>
    <t>Fonte: IBGE, AEPS (vários anos) até 2014; BEPS 2015 (vários meses); e cálculos próprios.</t>
  </si>
  <si>
    <t>Contas para fazer dez/15 certo. O Boletim está colocando uma quantidade errada (quantidade de novembro)</t>
  </si>
  <si>
    <t>Gasto Social</t>
  </si>
  <si>
    <t>Contas Gasto Total</t>
  </si>
  <si>
    <t>TOTAL &gt; 1 SM</t>
  </si>
  <si>
    <t>Valor Meses com Informação</t>
  </si>
  <si>
    <t>Valor Todos os meses (2015)</t>
  </si>
  <si>
    <t>Gasto por Faixa de Renda</t>
  </si>
  <si>
    <t>Gasto social em nov/15</t>
  </si>
  <si>
    <t>% do Gasto que é social nov/15</t>
  </si>
  <si>
    <t>Tabela 1.1 - Despesa Anual de Pessoal da União por Poder, segundo a situação de vínculo - SIAFI</t>
  </si>
  <si>
    <t>(Continua)</t>
  </si>
  <si>
    <t>(Conclusão)</t>
  </si>
  <si>
    <t>Poderes da União</t>
  </si>
  <si>
    <t>Despesa Anual de Pessoal da União por Poder (R$ milhões correntes)</t>
  </si>
  <si>
    <t>2000 ***</t>
  </si>
  <si>
    <t>2010 **</t>
  </si>
  <si>
    <t>2015 ³</t>
  </si>
  <si>
    <t>EXECUTIVO (Civis e Militares)</t>
  </si>
  <si>
    <t xml:space="preserve">             Ativos</t>
  </si>
  <si>
    <t xml:space="preserve">             Aposentados</t>
  </si>
  <si>
    <t xml:space="preserve">             Instituidor de Pensão (Beneficiários)</t>
  </si>
  <si>
    <t xml:space="preserve">      CIVIS ¹</t>
  </si>
  <si>
    <t xml:space="preserve">                Ativos</t>
  </si>
  <si>
    <t xml:space="preserve">                Aposentados</t>
  </si>
  <si>
    <t xml:space="preserve">                Instituidor de Pensão (Beneficiários)</t>
  </si>
  <si>
    <t xml:space="preserve">          - Administração Direta  </t>
  </si>
  <si>
    <t xml:space="preserve">          - Autarquias</t>
  </si>
  <si>
    <t xml:space="preserve">          - Fundações</t>
  </si>
  <si>
    <t xml:space="preserve">          - Banco Central do Brasil</t>
  </si>
  <si>
    <t xml:space="preserve">          - Empresas Públicas</t>
  </si>
  <si>
    <t xml:space="preserve">          - Sociedades de Econ. Mista</t>
  </si>
  <si>
    <t xml:space="preserve">        MILITARES</t>
  </si>
  <si>
    <t>MINISTÉRIO PÚBLICO DA UNIÃO*</t>
  </si>
  <si>
    <t>LEGISLATIVO</t>
  </si>
  <si>
    <t>JUDICIÁRIO</t>
  </si>
  <si>
    <t>Transferências Intergovernamentais ²</t>
  </si>
  <si>
    <t>-</t>
  </si>
  <si>
    <t xml:space="preserve">               Distrito Federal</t>
  </si>
  <si>
    <t xml:space="preserve">               Demais Estados</t>
  </si>
  <si>
    <r>
      <t>Fundo Constituc. do Distrito Federal</t>
    </r>
    <r>
      <rPr>
        <b/>
        <vertAlign val="superscript"/>
        <sz val="8"/>
        <color rgb="FF000000"/>
        <rFont val="Arial1"/>
      </rPr>
      <t xml:space="preserve"> 4</t>
    </r>
  </si>
  <si>
    <t>Repasses Previdenciários *</t>
  </si>
  <si>
    <t xml:space="preserve">               Ativos</t>
  </si>
  <si>
    <t xml:space="preserve">               Aposentados</t>
  </si>
  <si>
    <t xml:space="preserve">               Instituidor de Pensão (Beneficiários)</t>
  </si>
  <si>
    <t>Total da Geral</t>
  </si>
  <si>
    <t xml:space="preserve">               Aposentados + Inst de Pensão (Beneficiários)</t>
  </si>
  <si>
    <t>Tabela 1.2 - Participação Percentual da Despesa Anual de Pessoal da União por Poder, segundo a situação de vínculo - SIAFI</t>
  </si>
  <si>
    <t xml:space="preserve">                      </t>
  </si>
  <si>
    <t>Participação percentual da despesa anual de pessoal da União</t>
  </si>
  <si>
    <t xml:space="preserve">               Instituidor de Pensão</t>
  </si>
  <si>
    <t>Fundo Constitucional do Distrito Federal ³</t>
  </si>
  <si>
    <t>Total da Geral em %</t>
  </si>
  <si>
    <t>%</t>
  </si>
  <si>
    <t>3.3 - Distribuição de Servidores Civis do Poder Executivo por Faixa de Remuneração em % - SIAPE</t>
  </si>
  <si>
    <t>Ativos</t>
  </si>
  <si>
    <t>Aposentados</t>
  </si>
  <si>
    <t>Faixas de Remuneração
(R$ correntes)</t>
  </si>
  <si>
    <t>Distribuição de Servidores Civis Ativos e Aposentados, por sexo  (%)</t>
  </si>
  <si>
    <t>R$</t>
  </si>
  <si>
    <t>Mês</t>
  </si>
  <si>
    <t>Média</t>
  </si>
  <si>
    <t>Ativos (A)</t>
  </si>
  <si>
    <t>Aposentados (B)</t>
  </si>
  <si>
    <t>Total (A) + (B)</t>
  </si>
  <si>
    <t>12 ult.meses</t>
  </si>
  <si>
    <t>Média  dos 12 últimos meses</t>
  </si>
  <si>
    <t>Masc</t>
  </si>
  <si>
    <t>Fem</t>
  </si>
  <si>
    <t>Até</t>
  </si>
  <si>
    <t>À partir de 523,44</t>
  </si>
  <si>
    <t>Até 1.140,64</t>
  </si>
  <si>
    <t>De</t>
  </si>
  <si>
    <t>a</t>
  </si>
  <si>
    <t>De   523,45 a</t>
  </si>
  <si>
    <t>De  1.140,65 a 1.200</t>
  </si>
  <si>
    <t>De   1.201      a      1.300</t>
  </si>
  <si>
    <t>De   1.301      a      1.400</t>
  </si>
  <si>
    <t>De   1.401      a     1.500</t>
  </si>
  <si>
    <t>De   1.501      a    2.000</t>
  </si>
  <si>
    <t>De   2.001      a    2.500</t>
  </si>
  <si>
    <t>De   2.501      a    3.000</t>
  </si>
  <si>
    <t>De   3.001      a    3.500</t>
  </si>
  <si>
    <t>De   3.501      a    4.500</t>
  </si>
  <si>
    <t>De   4.501      a    5.500</t>
  </si>
  <si>
    <t>De   5.501      a    6.500</t>
  </si>
  <si>
    <t>De   6.501      a    7.500</t>
  </si>
  <si>
    <t>De   7.501      a    8.500</t>
  </si>
  <si>
    <t>De   8.501      a    9.500</t>
  </si>
  <si>
    <t>De   9.501     a    10.500</t>
  </si>
  <si>
    <t>De   10.501    a    11.500</t>
  </si>
  <si>
    <t>de</t>
  </si>
  <si>
    <t>De   11501     a    12.500</t>
  </si>
  <si>
    <t>De   12.501    a    13.000</t>
  </si>
  <si>
    <t>Acima de   13.000</t>
  </si>
  <si>
    <t>Acima de</t>
  </si>
  <si>
    <t>Acima  de</t>
  </si>
  <si>
    <t>Faixa de Remuneração</t>
  </si>
  <si>
    <t>Distribuição de Servidores Civis do Poder Executivo por Faixa de Remuneração (%)</t>
  </si>
  <si>
    <t>Dist.</t>
  </si>
  <si>
    <t>Até R$ 1.140,64</t>
  </si>
  <si>
    <t>Tabela 2.1 - Quantitativo de Servidores Federais da União, por Poder, a partir de 1991, segundo a situação de vínculo</t>
  </si>
  <si>
    <t xml:space="preserve">       </t>
  </si>
  <si>
    <t>Sit. Vínculo</t>
  </si>
  <si>
    <t>EXECUTIVO   (Civis e Militares)</t>
  </si>
  <si>
    <t>Inst.Pensão</t>
  </si>
  <si>
    <t xml:space="preserve">   TOTAL</t>
  </si>
  <si>
    <t xml:space="preserve">      - Administração Direta ¹</t>
  </si>
  <si>
    <t xml:space="preserve">      - Autarquias ¹</t>
  </si>
  <si>
    <t xml:space="preserve">       - Fundações ¹</t>
  </si>
  <si>
    <t xml:space="preserve">      - Banco Central do Brasil ²</t>
  </si>
  <si>
    <t xml:space="preserve">      - Ministério Público da União ³</t>
  </si>
  <si>
    <t>TOTAL GERAL</t>
  </si>
  <si>
    <t>Fonte: SEGEP/MP, SOF/MP e STN/MF</t>
  </si>
  <si>
    <t>Executivo</t>
  </si>
  <si>
    <t>Civis</t>
  </si>
  <si>
    <t>Militares</t>
  </si>
  <si>
    <t>Legislativo</t>
  </si>
  <si>
    <t>Judiciário</t>
  </si>
  <si>
    <t>Total geral</t>
  </si>
  <si>
    <t>Transferências Fundo de Compensação do Distrito federal</t>
  </si>
  <si>
    <t xml:space="preserve">    - CIVIS</t>
  </si>
  <si>
    <r>
      <t xml:space="preserve">      - Empresas Públicas </t>
    </r>
    <r>
      <rPr>
        <vertAlign val="superscript"/>
        <sz val="8"/>
        <color rgb="FF000000"/>
        <rFont val="Arial1"/>
      </rPr>
      <t>4</t>
    </r>
  </si>
  <si>
    <r>
      <t xml:space="preserve">      - Sociedades de Economista Mista </t>
    </r>
    <r>
      <rPr>
        <vertAlign val="superscript"/>
        <sz val="8"/>
        <color rgb="FF000000"/>
        <rFont val="Arial1"/>
      </rPr>
      <t>4</t>
    </r>
  </si>
  <si>
    <r>
      <t xml:space="preserve">    - MILITARES</t>
    </r>
    <r>
      <rPr>
        <b/>
        <vertAlign val="superscript"/>
        <sz val="8"/>
        <color rgb="FF000000"/>
        <rFont val="Arial1"/>
      </rPr>
      <t xml:space="preserve"> 5</t>
    </r>
  </si>
  <si>
    <r>
      <t xml:space="preserve">LEGISLATIVO </t>
    </r>
    <r>
      <rPr>
        <b/>
        <vertAlign val="superscript"/>
        <sz val="8"/>
        <color rgb="FF000000"/>
        <rFont val="Arial1"/>
      </rPr>
      <t>6</t>
    </r>
  </si>
  <si>
    <r>
      <t>JUDICIÁRIO</t>
    </r>
    <r>
      <rPr>
        <b/>
        <vertAlign val="superscript"/>
        <sz val="8"/>
        <color rgb="FF000000"/>
        <rFont val="Arial1"/>
      </rPr>
      <t xml:space="preserve"> 7</t>
    </r>
  </si>
  <si>
    <r>
      <t xml:space="preserve">TRANSFERÊNCIAS / FCDF </t>
    </r>
    <r>
      <rPr>
        <b/>
        <vertAlign val="superscript"/>
        <sz val="8"/>
        <color rgb="FF000000"/>
        <rFont val="Arial1"/>
      </rPr>
      <t>8</t>
    </r>
  </si>
  <si>
    <r>
      <t xml:space="preserve">1.Pessoal Civil, Administração Direta, Autarquias e Fundações. </t>
    </r>
    <r>
      <rPr>
        <sz val="7"/>
        <color rgb="FF000000"/>
        <rFont val="Arial1"/>
      </rPr>
      <t xml:space="preserve">/ </t>
    </r>
    <r>
      <rPr>
        <b/>
        <sz val="7"/>
        <color rgb="FF000000"/>
        <rFont val="Arial1"/>
      </rPr>
      <t>Fonte:</t>
    </r>
    <r>
      <rPr>
        <sz val="7"/>
        <color rgb="FF000000"/>
        <rFont val="Arial1"/>
      </rPr>
      <t>1991 a 2008 SIAPE-MP</t>
    </r>
    <r>
      <rPr>
        <b/>
        <sz val="7"/>
        <color rgb="FF000000"/>
        <rFont val="Arial1"/>
      </rPr>
      <t>;</t>
    </r>
  </si>
  <si>
    <r>
      <t xml:space="preserve">    </t>
    </r>
    <r>
      <rPr>
        <b/>
        <sz val="7"/>
        <color rgb="FF000000"/>
        <rFont val="Arial1"/>
      </rPr>
      <t>Notas: 1.</t>
    </r>
    <r>
      <rPr>
        <sz val="7"/>
        <color rgb="FF000000"/>
        <rFont val="Arial1"/>
      </rPr>
      <t xml:space="preserve"> Em 1993 e 1994, a abertura para a administração Direta, Autarquias e Fundações está estimada a partir da distribuição percentual disponível de meses específicos de cada um destes anos;</t>
    </r>
  </si>
  <si>
    <r>
      <t xml:space="preserve">   </t>
    </r>
    <r>
      <rPr>
        <b/>
        <sz val="7"/>
        <color rgb="FF000000"/>
        <rFont val="Arial1"/>
      </rPr>
      <t xml:space="preserve">             </t>
    </r>
    <r>
      <rPr>
        <b/>
        <sz val="7"/>
        <color rgb="FF000000"/>
        <rFont val="Arial1"/>
      </rPr>
      <t>2.</t>
    </r>
    <r>
      <rPr>
        <sz val="7"/>
        <color rgb="FF000000"/>
        <rFont val="Arial1"/>
      </rPr>
      <t xml:space="preserve"> Os dados de 1995 a 2013 referem-se ao mês de dezembro dos respectivos anos;</t>
    </r>
  </si>
  <si>
    <r>
      <t xml:space="preserve">               </t>
    </r>
    <r>
      <rPr>
        <b/>
        <sz val="7"/>
        <color rgb="FF000000"/>
        <rFont val="Arial1"/>
      </rPr>
      <t xml:space="preserve"> </t>
    </r>
    <r>
      <rPr>
        <b/>
        <sz val="7"/>
        <color rgb="FF000000"/>
        <rFont val="Arial1"/>
      </rPr>
      <t>3.</t>
    </r>
    <r>
      <rPr>
        <sz val="7"/>
        <color rgb="FF000000"/>
        <rFont val="Arial1"/>
      </rPr>
      <t xml:space="preserve"> A conversão dos inst. de pensão dos sistemas DATAPREV/INSS e APSIS/MF para o SIAPE começou no ano de 1992 e foi gradativa ao longo do tempo, por isso há uma grande evolução em alguns períodos.</t>
    </r>
  </si>
  <si>
    <r>
      <t xml:space="preserve">     </t>
    </r>
    <r>
      <rPr>
        <b/>
        <sz val="7"/>
        <color rgb="FF000000"/>
        <rFont val="Arial1"/>
      </rPr>
      <t xml:space="preserve">           </t>
    </r>
    <r>
      <rPr>
        <b/>
        <sz val="7"/>
        <color rgb="FF000000"/>
        <rFont val="Arial1"/>
      </rPr>
      <t>4.</t>
    </r>
    <r>
      <rPr>
        <sz val="7"/>
        <color rgb="FF000000"/>
        <rFont val="Arial1"/>
      </rPr>
      <t xml:space="preserve"> Em 1994 e 1995, os servidores do antigo INAMPS (Autarquia) passaram para o Ministério da Saúde, por isso há uma mudança significativa do quantitativo na Administração Direta e nas Autarquias em 1995.</t>
    </r>
  </si>
  <si>
    <r>
      <t xml:space="preserve">   </t>
    </r>
    <r>
      <rPr>
        <b/>
        <sz val="7"/>
        <color rgb="FF000000"/>
        <rFont val="Arial1"/>
      </rPr>
      <t xml:space="preserve">             </t>
    </r>
    <r>
      <rPr>
        <b/>
        <sz val="7"/>
        <color rgb="FF000000"/>
        <rFont val="Arial1"/>
      </rPr>
      <t>5.</t>
    </r>
    <r>
      <rPr>
        <sz val="7"/>
        <color rgb="FF000000"/>
        <rFont val="Arial1"/>
      </rPr>
      <t xml:space="preserve"> A partir de 1996 foi  considerado o critério de Força de Trabalho=quantidade de vínculos (-) exercício descentralizado (-) lotação provisória (-) cedidos (-) anistiados públicos e Privados (-) estagiários.</t>
    </r>
  </si>
  <si>
    <r>
      <t xml:space="preserve">   </t>
    </r>
    <r>
      <rPr>
        <b/>
        <sz val="7"/>
        <color rgb="FF000000"/>
        <rFont val="Arial1"/>
      </rPr>
      <t xml:space="preserve">             </t>
    </r>
    <r>
      <rPr>
        <b/>
        <sz val="7"/>
        <color rgb="FF000000"/>
        <rFont val="Arial1"/>
      </rPr>
      <t>6.</t>
    </r>
    <r>
      <rPr>
        <sz val="7"/>
        <color rgb="FF000000"/>
        <rFont val="Arial1"/>
      </rPr>
      <t xml:space="preserve"> No mês de abril de 2002 ocorreu uma transferência de cadastro de aposentados e instituidores das Autarquias para a Administração Direta devido a extinção do DNER.</t>
    </r>
  </si>
  <si>
    <r>
      <rPr>
        <b/>
        <sz val="5.5"/>
        <color rgb="FF000000"/>
        <rFont val="Calibri"/>
        <family val="2"/>
      </rPr>
      <t xml:space="preserve">                </t>
    </r>
    <r>
      <rPr>
        <b/>
        <sz val="5.5"/>
        <color rgb="FF000000"/>
        <rFont val="Calibri"/>
        <family val="2"/>
      </rPr>
      <t>7-</t>
    </r>
    <r>
      <rPr>
        <sz val="5.5"/>
        <color rgb="FF000000"/>
        <rFont val="Calibri"/>
        <family val="2"/>
      </rPr>
      <t xml:space="preserve"> A partir de dezembro de 2014, o cargo de Agente de Combates as Endemias deixa de ser contado na Fundação e para ser contado na Administração Direta do Ministério da Saúde, e muda de Regime Jurídico, deixa de ser Celetista (CLT) e passa a ser contado como Estatutário (L8112/09) de acordo com a Lei 13.026/14.</t>
    </r>
  </si>
  <si>
    <r>
      <rPr>
        <b/>
        <sz val="5.5"/>
        <color rgb="FF000000"/>
        <rFont val="Calibri"/>
        <family val="2"/>
      </rPr>
      <t xml:space="preserve">                </t>
    </r>
    <r>
      <rPr>
        <b/>
        <sz val="5.5"/>
        <color rgb="FF000000"/>
        <rFont val="Calibri"/>
        <family val="2"/>
      </rPr>
      <t>Obs.:</t>
    </r>
    <r>
      <rPr>
        <sz val="5.5"/>
        <color rgb="FF000000"/>
        <rFont val="Calibri"/>
        <family val="2"/>
      </rPr>
      <t xml:space="preserve"> Até 2004 foram considerados na Administração Direta (situações de vinculos Aposentado e Inst. Pensão) o quantitativo de Militares dos Ex-Territórios (Policial e Corpo de Bombeiro). A partir de 2005, não considerado no quadro de pessoal da Adm. Pública Federal os Militares dos Ex-Territórios.</t>
    </r>
  </si>
  <si>
    <r>
      <t xml:space="preserve">2. Banco Central do Brasil - BACEN. </t>
    </r>
    <r>
      <rPr>
        <sz val="7"/>
        <color rgb="FF000000"/>
        <rFont val="Arial1"/>
      </rPr>
      <t>Mês referência = dezembro.</t>
    </r>
  </si>
  <si>
    <r>
      <t xml:space="preserve">      </t>
    </r>
    <r>
      <rPr>
        <b/>
        <sz val="7"/>
        <color rgb="FF000000"/>
        <rFont val="Arial1"/>
      </rPr>
      <t>Fonte:</t>
    </r>
    <r>
      <rPr>
        <sz val="7"/>
        <color rgb="FF000000"/>
        <rFont val="Arial1"/>
      </rPr>
      <t xml:space="preserve"> 1991 a 1997 os Aposentados e Inst. de Pensão são pagos pela Previdências Social (Dataprev/INSS), Os quantitativos de funcionários ativos referem-se somente aqueles pagos com recursos do tesouro.</t>
    </r>
  </si>
  <si>
    <r>
      <t xml:space="preserve">      </t>
    </r>
    <r>
      <rPr>
        <b/>
        <sz val="7"/>
        <color rgb="FF000000"/>
        <rFont val="Arial1"/>
      </rPr>
      <t>Fonte:</t>
    </r>
    <r>
      <rPr>
        <sz val="7"/>
        <color rgb="FF000000"/>
        <rFont val="Arial1"/>
      </rPr>
      <t xml:space="preserve"> 1997 a 2011 todos os servidores (Ativos, Aposentados e Inst. de Pensão) estão sendo pagos com recursos do Tesouro. / </t>
    </r>
    <r>
      <rPr>
        <b/>
        <sz val="7"/>
        <color rgb="FF000000"/>
        <rFont val="Arial2"/>
      </rPr>
      <t>Fonte:</t>
    </r>
    <r>
      <rPr>
        <sz val="7"/>
        <color rgb="FF000000"/>
        <rFont val="Arial2"/>
      </rPr>
      <t xml:space="preserve"> A partir de 2010 de acordo com a Portaria 2.730, 15 de outubro 2009 da SRH/MP.a partir de 2010 de acordo com a Portaria 2.730, 15 de outubro 2009 da SRH/MP.</t>
    </r>
  </si>
  <si>
    <r>
      <t xml:space="preserve">3. Ministério Público da União - MPU. </t>
    </r>
    <r>
      <rPr>
        <sz val="7"/>
        <color rgb="FF000000"/>
        <rFont val="Arial1"/>
      </rPr>
      <t xml:space="preserve">Mês referência = dezembro. </t>
    </r>
    <r>
      <rPr>
        <b/>
        <sz val="7"/>
        <color rgb="FF000000"/>
        <rFont val="Arial1"/>
      </rPr>
      <t>/</t>
    </r>
    <r>
      <rPr>
        <sz val="7"/>
        <color rgb="FF000000"/>
        <rFont val="Arial1"/>
      </rPr>
      <t xml:space="preserve"> </t>
    </r>
    <r>
      <rPr>
        <b/>
        <sz val="7"/>
        <color rgb="FF000000"/>
        <rFont val="Arial1"/>
      </rPr>
      <t>Fonte:</t>
    </r>
    <r>
      <rPr>
        <sz val="7"/>
        <color rgb="FF000000"/>
        <rFont val="Arial1"/>
      </rPr>
      <t>1995 ate nov 2009 SIAFI/MF/ a partir de 2010 acordo com a Portaria 2.730, 15 de outubro 2009 da SRH/MP.</t>
    </r>
  </si>
  <si>
    <r>
      <t xml:space="preserve">4. Empresas Públicas e Sociedades de Economia Mista. </t>
    </r>
    <r>
      <rPr>
        <sz val="7"/>
        <color rgb="FF000000"/>
        <rFont val="Arial1"/>
      </rPr>
      <t>Mês referência = dezembro.</t>
    </r>
  </si>
  <si>
    <r>
      <t xml:space="preserve">      </t>
    </r>
    <r>
      <rPr>
        <b/>
        <sz val="7"/>
        <color rgb="FF000000"/>
        <rFont val="Arial1"/>
      </rPr>
      <t>Fonte:</t>
    </r>
    <r>
      <rPr>
        <sz val="7"/>
        <color rgb="FF000000"/>
        <rFont val="Arial1"/>
      </rPr>
      <t xml:space="preserve"> 1991/1994 - SEST/MP; </t>
    </r>
    <r>
      <rPr>
        <b/>
        <sz val="7"/>
        <color rgb="FF000000"/>
        <rFont val="Arial1"/>
      </rPr>
      <t>/ Fonte:</t>
    </r>
    <r>
      <rPr>
        <sz val="7"/>
        <color rgb="FF000000"/>
        <rFont val="Arial1"/>
      </rPr>
      <t xml:space="preserve"> 1995 - SOF/MP; </t>
    </r>
    <r>
      <rPr>
        <b/>
        <sz val="7"/>
        <color rgb="FF000000"/>
        <rFont val="Arial1"/>
      </rPr>
      <t>/</t>
    </r>
    <r>
      <rPr>
        <sz val="7"/>
        <color rgb="FF000000"/>
        <rFont val="Arial1"/>
      </rPr>
      <t xml:space="preserve"> </t>
    </r>
    <r>
      <rPr>
        <b/>
        <sz val="7"/>
        <color rgb="FF000000"/>
        <rFont val="Arial1"/>
      </rPr>
      <t>Fonte:</t>
    </r>
    <r>
      <rPr>
        <sz val="7"/>
        <color rgb="FF000000"/>
        <rFont val="Arial1"/>
      </rPr>
      <t xml:space="preserve"> 1996 a 2007 -  STN/MF; Fonte a partir de 2008 - SIAPE/MP</t>
    </r>
  </si>
  <si>
    <r>
      <t xml:space="preserve">      </t>
    </r>
    <r>
      <rPr>
        <b/>
        <sz val="7"/>
        <color rgb="FF000000"/>
        <rFont val="Arial1"/>
      </rPr>
      <t>Nota 1:</t>
    </r>
    <r>
      <rPr>
        <sz val="7"/>
        <color rgb="FF000000"/>
        <rFont val="Arial1"/>
      </rPr>
      <t xml:space="preserve"> Os aposentados e Instituidores de Pensão são pagos pela Previdência Social (DATAPREV/INSS). /  Os quantitativos de funcionários referem-se somente àqueles pagos pelo Tesouro Nacional.</t>
    </r>
  </si>
  <si>
    <r>
      <t xml:space="preserve">    Nota 2: Nas Empresas Públicas. </t>
    </r>
    <r>
      <rPr>
        <sz val="7"/>
        <color rgb="FF000000"/>
        <rFont val="Arial1"/>
      </rPr>
      <t>Mês referência = dezembro. Em 2004 o SERPRO deixou de ser contado em virtude de não mais receber recurso do Tesouro Nacional para despesa de pessoal.</t>
    </r>
  </si>
  <si>
    <r>
      <t>5. Pessoal Militar. Mês referência = dezembro. / Fonte: 1991/1995 - EMFA / Fonte: 1995 a set/2009 - SIAFI/MF / Fonte:</t>
    </r>
    <r>
      <rPr>
        <sz val="11"/>
        <color theme="1"/>
        <rFont val="Calibri"/>
        <family val="2"/>
        <scheme val="minor"/>
      </rPr>
      <t xml:space="preserve"> a partir out/2009 de acordo com  Portaria 2.730 de 15 de outubro 2009.  Integra o Ministério da Defesa os militares da União nos Comandos da Aeronáutica, Exército e Marinha.</t>
    </r>
  </si>
  <si>
    <r>
      <t xml:space="preserve">6. Poder Legislativo. </t>
    </r>
    <r>
      <rPr>
        <sz val="7"/>
        <color rgb="FF000000"/>
        <rFont val="Arial1"/>
      </rPr>
      <t>Mês referência = dezembro.</t>
    </r>
    <r>
      <rPr>
        <b/>
        <sz val="7"/>
        <color rgb="FF000000"/>
        <rFont val="Arial1"/>
      </rPr>
      <t xml:space="preserve"> / Fonte:</t>
    </r>
    <r>
      <rPr>
        <sz val="7"/>
        <color rgb="FF000000"/>
        <rFont val="Arial1"/>
      </rPr>
      <t xml:space="preserve"> 1995 a 2009 - SIAFI/MF. Incluem cargos comissionados de livre provimento, a partir de 2010 Portaria 2.730, 15 de outubro 2009 da SRH/MP.</t>
    </r>
  </si>
  <si>
    <r>
      <t xml:space="preserve">7. Poder Judiciário. </t>
    </r>
    <r>
      <rPr>
        <sz val="7"/>
        <color rgb="FF000000"/>
        <rFont val="Arial1"/>
      </rPr>
      <t>Mês referência = dezembro</t>
    </r>
    <r>
      <rPr>
        <b/>
        <sz val="7"/>
        <color rgb="FF000000"/>
        <rFont val="Arial1"/>
      </rPr>
      <t>. /</t>
    </r>
    <r>
      <rPr>
        <sz val="7"/>
        <color rgb="FF000000"/>
        <rFont val="Arial1"/>
      </rPr>
      <t xml:space="preserve"> </t>
    </r>
    <r>
      <rPr>
        <b/>
        <sz val="7"/>
        <color rgb="FF000000"/>
        <rFont val="Arial1"/>
      </rPr>
      <t>Fonte:</t>
    </r>
    <r>
      <rPr>
        <sz val="7"/>
        <color rgb="FF000000"/>
        <rFont val="Arial1"/>
      </rPr>
      <t xml:space="preserve"> 1995 - SOF/MP e ADMP(STN) </t>
    </r>
    <r>
      <rPr>
        <b/>
        <sz val="7"/>
        <color rgb="FF000000"/>
        <rFont val="Arial1"/>
      </rPr>
      <t>/</t>
    </r>
    <r>
      <rPr>
        <sz val="7"/>
        <color rgb="FF000000"/>
        <rFont val="Arial1"/>
      </rPr>
      <t xml:space="preserve"> </t>
    </r>
    <r>
      <rPr>
        <b/>
        <sz val="7"/>
        <color rgb="FF000000"/>
        <rFont val="Arial1"/>
      </rPr>
      <t>Fonte:</t>
    </r>
    <r>
      <rPr>
        <sz val="7"/>
        <color rgb="FF000000"/>
        <rFont val="Arial1"/>
      </rPr>
      <t xml:space="preserve"> 1996 a set/2009 - SIAFI/MF / </t>
    </r>
    <r>
      <rPr>
        <b/>
        <sz val="7"/>
        <color rgb="FF000000"/>
        <rFont val="Arial1"/>
      </rPr>
      <t xml:space="preserve">Fonte: </t>
    </r>
    <r>
      <rPr>
        <sz val="7"/>
        <color rgb="FF000000"/>
        <rFont val="Arial1"/>
      </rPr>
      <t>a partir de 2010 de acordo com a Portaria 2.730 a partir out/2009. Mês referência dezembro.</t>
    </r>
  </si>
  <si>
    <r>
      <t xml:space="preserve">8. Transf. Intergovernamentais/FCDF. </t>
    </r>
    <r>
      <rPr>
        <sz val="7"/>
        <color rgb="FF000000"/>
        <rFont val="Arial1"/>
      </rPr>
      <t xml:space="preserve">Mês referência = dezembro. </t>
    </r>
    <r>
      <rPr>
        <b/>
        <sz val="7"/>
        <color rgb="FF000000"/>
        <rFont val="Arial1"/>
      </rPr>
      <t>/</t>
    </r>
    <r>
      <rPr>
        <sz val="7"/>
        <color rgb="FF000000"/>
        <rFont val="Arial1"/>
      </rPr>
      <t xml:space="preserve"> </t>
    </r>
    <r>
      <rPr>
        <b/>
        <sz val="7"/>
        <color rgb="FF000000"/>
        <rFont val="Arial1"/>
      </rPr>
      <t>Fonte:</t>
    </r>
    <r>
      <rPr>
        <sz val="7"/>
        <color rgb="FF000000"/>
        <rFont val="Arial1"/>
      </rPr>
      <t xml:space="preserve"> 1995 a 2011 - SIAFI/MF (Gerência do Mato Grosso - DRH-MT/MF e a Gerência do Rio Grande do Sul - DRH/RS).</t>
    </r>
  </si>
  <si>
    <t xml:space="preserve">       Empregados e Servidores de outras esferas de Governo pagos com recursos do Ministério da Fazenda, sob supervisão deste,</t>
  </si>
  <si>
    <r>
      <t xml:space="preserve">     Fundo Constitucional do Distrito Federal - FCDF- </t>
    </r>
    <r>
      <rPr>
        <sz val="7"/>
        <color rgb="FF000000"/>
        <rFont val="Arial1"/>
      </rPr>
      <t xml:space="preserve">mês de referência dezembro. / </t>
    </r>
    <r>
      <rPr>
        <b/>
        <sz val="7"/>
        <color rgb="FF000000"/>
        <rFont val="Arial1"/>
      </rPr>
      <t xml:space="preserve">Fonte: </t>
    </r>
    <r>
      <rPr>
        <sz val="11"/>
        <color theme="1"/>
        <rFont val="Calibri"/>
        <family val="2"/>
        <scheme val="minor"/>
      </rPr>
      <t xml:space="preserve">Secretaria de Planejamento e Orçamento do </t>
    </r>
    <r>
      <rPr>
        <sz val="7"/>
        <color rgb="FF000000"/>
        <rFont val="Arial1"/>
      </rPr>
      <t>Governo do Distrito Federal.</t>
    </r>
  </si>
  <si>
    <r>
      <t>Nota 1:</t>
    </r>
    <r>
      <rPr>
        <sz val="7"/>
        <color rgb="FF000000"/>
        <rFont val="Arial1"/>
      </rPr>
      <t xml:space="preserve"> A partir de 2010  os dados sobre quantitativo de </t>
    </r>
    <r>
      <rPr>
        <b/>
        <sz val="7"/>
        <color rgb="FF000000"/>
        <rFont val="Arial1"/>
      </rPr>
      <t>Militares, BACEN , MPU</t>
    </r>
    <r>
      <rPr>
        <sz val="7"/>
        <color rgb="FF000000"/>
        <rFont val="Arial1"/>
      </rPr>
      <t xml:space="preserve"> e dos Poderes </t>
    </r>
    <r>
      <rPr>
        <b/>
        <sz val="7"/>
        <color rgb="FF000000"/>
        <rFont val="Arial1"/>
      </rPr>
      <t>Legislativo</t>
    </r>
    <r>
      <rPr>
        <sz val="7"/>
        <color rgb="FF000000"/>
        <rFont val="Arial1"/>
      </rPr>
      <t xml:space="preserve"> e </t>
    </r>
    <r>
      <rPr>
        <b/>
        <sz val="7"/>
        <color rgb="FF000000"/>
        <rFont val="Arial1"/>
      </rPr>
      <t>Judiciário</t>
    </r>
    <r>
      <rPr>
        <sz val="7"/>
        <color rgb="FF000000"/>
        <rFont val="Arial1"/>
      </rPr>
      <t xml:space="preserve"> estão sendo atualizados de acordo com a Portaria 2.730, 15 de outubro 2009 da Secretaria de Recursos Humanos do Ministério do Planejamento.</t>
    </r>
  </si>
  <si>
    <r>
      <rPr>
        <b/>
        <sz val="7"/>
        <color rgb="FF000000"/>
        <rFont val="Arial1"/>
      </rPr>
      <t>Nota 2 -</t>
    </r>
    <r>
      <rPr>
        <sz val="7"/>
        <color rgb="FF000000"/>
        <rFont val="Arial1"/>
      </rPr>
      <t xml:space="preserve"> A partir de 2012 nos Poderes Judiciário e Legislativo, foram excluídos as situações de vínculos que geram mais de um vínculo por servidor, evitando duplicidade do mesmo.</t>
    </r>
  </si>
  <si>
    <r>
      <t xml:space="preserve">Órgãos que compõem o Poder Judiciário: </t>
    </r>
    <r>
      <rPr>
        <sz val="7"/>
        <color rgb="FF000000"/>
        <rFont val="Arial1"/>
      </rPr>
      <t>Supremo Tribunal Federal (STF), Superior Tribunal de Justiça (STJ), além dos Tribunais Regionais Federais (TRF), Tribunais e Juízes do Trabalho, Tribunais e Juízes Eleitorais, Tribunais e Juízes Militares e os Tribunais e Juízes dos estados e do Distrito Federal e Territórios.</t>
    </r>
  </si>
  <si>
    <r>
      <rPr>
        <b/>
        <sz val="7"/>
        <color rgb="FF000000"/>
        <rFont val="Calibri"/>
        <family val="2"/>
      </rPr>
      <t>Órgãos que compõem o Poder Legislativo</t>
    </r>
    <r>
      <rPr>
        <sz val="7"/>
        <color rgb="FF000000"/>
        <rFont val="Arial1"/>
      </rPr>
      <t xml:space="preserve"> (Senado Federal, Câmara dos Deputados e Tribunal de Contas da União)</t>
    </r>
  </si>
  <si>
    <r>
      <rPr>
        <b/>
        <sz val="7"/>
        <color rgb="FF000000"/>
        <rFont val="Calibri"/>
        <family val="2"/>
      </rPr>
      <t>Órgãos que compõem o Ministério da União</t>
    </r>
    <r>
      <rPr>
        <sz val="7"/>
        <color rgb="FF000000"/>
        <rFont val="Arial1"/>
      </rPr>
      <t xml:space="preserve"> (Ministério Público Federal, Ministério Público do Trabalho, Ministério Público Militar e Ministério Público do Distrito Federal e Territórios).</t>
    </r>
  </si>
  <si>
    <r>
      <rPr>
        <b/>
        <sz val="11"/>
        <color rgb="FF000000"/>
        <rFont val="Calibri"/>
        <family val="2"/>
      </rPr>
      <t>SIAPE -</t>
    </r>
    <r>
      <rPr>
        <sz val="7"/>
        <color rgb="FF000000"/>
        <rFont val="Arial2"/>
      </rPr>
      <t xml:space="preserve"> Sistema Integrado de Administração de Recursos Humanos  / </t>
    </r>
    <r>
      <rPr>
        <b/>
        <sz val="11"/>
        <color rgb="FF000000"/>
        <rFont val="Calibri"/>
        <family val="2"/>
      </rPr>
      <t>SIAFI -</t>
    </r>
    <r>
      <rPr>
        <sz val="7"/>
        <color rgb="FF000000"/>
        <rFont val="Arial2"/>
      </rPr>
      <t xml:space="preserve"> Sistema Integrado de Administração Financeira do Governo Federal. / </t>
    </r>
    <r>
      <rPr>
        <b/>
        <sz val="11"/>
        <color rgb="FF000000"/>
        <rFont val="Calibri"/>
        <family val="2"/>
      </rPr>
      <t>SEGEP -</t>
    </r>
    <r>
      <rPr>
        <sz val="7"/>
        <color rgb="FF000000"/>
        <rFont val="Arial2"/>
      </rPr>
      <t xml:space="preserve"> Secretaria de Gestão Pública do Ministério do Planejamento Orçamento e Gestão / </t>
    </r>
    <r>
      <rPr>
        <b/>
        <sz val="11"/>
        <color rgb="FF000000"/>
        <rFont val="Calibri"/>
        <family val="2"/>
      </rPr>
      <t>SOF -</t>
    </r>
    <r>
      <rPr>
        <sz val="7"/>
        <color rgb="FF000000"/>
        <rFont val="Arial2"/>
      </rPr>
      <t xml:space="preserve"> Secretaria de Orçamento Federal do Ministério do Planejamento, Orçamento e Gestão /</t>
    </r>
  </si>
  <si>
    <r>
      <rPr>
        <b/>
        <sz val="11"/>
        <color rgb="FF000000"/>
        <rFont val="Calibri"/>
        <family val="2"/>
      </rPr>
      <t xml:space="preserve">EMFA – Estado Maior das Forças Armadas  / SIDOR - </t>
    </r>
    <r>
      <rPr>
        <sz val="7"/>
        <color rgb="FF000000"/>
        <rFont val="Arial"/>
        <family val="2"/>
      </rPr>
      <t xml:space="preserve">Sistema Integrado de Dados Orçamentários Federal / </t>
    </r>
    <r>
      <rPr>
        <b/>
        <sz val="11"/>
        <color rgb="FF000000"/>
        <rFont val="Calibri"/>
        <family val="2"/>
      </rPr>
      <t>SEGEP -</t>
    </r>
    <r>
      <rPr>
        <sz val="7"/>
        <color rgb="FF000000"/>
        <rFont val="Arial"/>
        <family val="2"/>
      </rPr>
      <t xml:space="preserve"> Secretaria de Gestão Pública do Ministério do Planejamento, Orçamento e Gestão /</t>
    </r>
    <r>
      <rPr>
        <b/>
        <sz val="11"/>
        <color rgb="FF000000"/>
        <rFont val="Calibri"/>
        <family val="2"/>
      </rPr>
      <t xml:space="preserve"> STN - </t>
    </r>
    <r>
      <rPr>
        <sz val="7"/>
        <color rgb="FF000000"/>
        <rFont val="Arial"/>
        <family val="2"/>
      </rPr>
      <t>Secretaria do Tesouro Nacional do Ministério da Fazenda /</t>
    </r>
  </si>
  <si>
    <r>
      <rPr>
        <b/>
        <sz val="11"/>
        <color rgb="FF000000"/>
        <rFont val="Calibri"/>
        <family val="2"/>
      </rPr>
      <t>DATAPREV-</t>
    </r>
    <r>
      <rPr>
        <sz val="7"/>
        <color rgb="FF000000"/>
        <rFont val="Arial"/>
        <family val="2"/>
      </rPr>
      <t xml:space="preserve"> Empresa de Tecnologia e Informações da Previdência Social (Empresa Pública) / </t>
    </r>
    <r>
      <rPr>
        <b/>
        <sz val="11"/>
        <color rgb="FF000000"/>
        <rFont val="Calibri"/>
        <family val="2"/>
      </rPr>
      <t xml:space="preserve">INSS - </t>
    </r>
    <r>
      <rPr>
        <sz val="7"/>
        <color rgb="FF000000"/>
        <rFont val="Arial"/>
        <family val="2"/>
      </rPr>
      <t>Instituto de Nacional do Seguro Social.</t>
    </r>
  </si>
  <si>
    <t>% Despesa Anual</t>
  </si>
  <si>
    <t>GS-RPPS Total</t>
  </si>
  <si>
    <t>Fonte: IBGE, Boletim Estatístico de Pessoal (MPOG) e cálculos próprios</t>
  </si>
  <si>
    <t>Fonte: Boletim Estatístico de Pessoal (MPOG).</t>
  </si>
  <si>
    <t>ND</t>
  </si>
  <si>
    <t xml:space="preserve"> ND </t>
  </si>
  <si>
    <t xml:space="preserve">ND </t>
  </si>
  <si>
    <t>Transferências ao FCDF</t>
  </si>
  <si>
    <r>
      <t xml:space="preserve">Fonte: Boletim Estatístico de Pessoal (MPOG) e cálculos próprios.
</t>
    </r>
    <r>
      <rPr>
        <i/>
        <vertAlign val="superscript"/>
        <sz val="10"/>
        <color theme="1"/>
        <rFont val="Arial Narrow"/>
        <family val="2"/>
      </rPr>
      <t>1</t>
    </r>
    <r>
      <rPr>
        <i/>
        <sz val="10"/>
        <color theme="1"/>
        <rFont val="Arial Narrow"/>
        <family val="2"/>
      </rPr>
      <t xml:space="preserve"> Antes de 2006, FCDF estava incluído no Executivo.</t>
    </r>
  </si>
  <si>
    <t>Salário Mínimo Médio</t>
  </si>
  <si>
    <t>Valor - acumulado</t>
  </si>
  <si>
    <t>% - posição de dezembro</t>
  </si>
  <si>
    <t>PIB</t>
  </si>
  <si>
    <t>BEPS 2014</t>
  </si>
  <si>
    <t>Tabela - Evolução da quantidade (em milhares) e valor (em R$) de benefícios previdenciários emitidos até 1 SM e de sua proporção em relação aos
 benefícios totais</t>
  </si>
  <si>
    <t>Tabela - Evolução da quantidade (em milhares) de benefícios emitidos até 1 SM e de sua proporção em relação aos benefícios totais: Clientela Rural</t>
  </si>
  <si>
    <t>Tabela - Evolução da quantidade (em milhares) de benefícios emitidos até 1 SM e de sua proporção em relação aos benefícios totais: Clientela Urbana</t>
  </si>
  <si>
    <t xml:space="preserve">Tabela - Evolução do Gasto Social Previdenciário - GSP (em R$ bi) de sua participação no gasto previdenciário (GP) total: por Clientela </t>
  </si>
  <si>
    <t>Tabela - Evolução do Gasto Social Previdenciário (em R$ bi) e da Participação de Cada Benefício no Gasto Previdenciário Social: Clientela Rural</t>
  </si>
  <si>
    <t>Tabela - Evolução do Gasto Social Previdenciário (em R$ bi) e da Participação de Cada Benefício no Gasto Previdenciário Social: Clientela Urbana</t>
  </si>
  <si>
    <t>Tabela - Evolução do Quantitativo de Servidores Aposentados e Pensionistas - RPPS</t>
  </si>
  <si>
    <t xml:space="preserve">Tabela - Despesa Anual de Pessoal da União e Gasto Social por Poder (em R$ bi) </t>
  </si>
  <si>
    <t>Programa</t>
  </si>
  <si>
    <t>Ação</t>
  </si>
  <si>
    <t>GND / Órgão</t>
  </si>
  <si>
    <t>Categoria</t>
  </si>
  <si>
    <t>0084</t>
  </si>
  <si>
    <t xml:space="preserve"> ARRECADAÇÃO DE RECEITAS PREVIDENCIÁRIAS</t>
  </si>
  <si>
    <t>2596</t>
  </si>
  <si>
    <t xml:space="preserve"> ORIENTAÇÃO TÉCNICA ÀS EMPRESAS E AOS SEGURADOS DA PREVIDÊNCIA SOCIAL</t>
  </si>
  <si>
    <t>3,4,5</t>
  </si>
  <si>
    <t>RGPS</t>
  </si>
  <si>
    <t>Administrativos</t>
  </si>
  <si>
    <t>1079</t>
  </si>
  <si>
    <t xml:space="preserve"> EDUCAÇÃO PREVIDENCIÁRIA</t>
  </si>
  <si>
    <t>4641</t>
  </si>
  <si>
    <t xml:space="preserve"> PUBLICIDADE DE UTILIDADE PÚBLICA</t>
  </si>
  <si>
    <t>2282</t>
  </si>
  <si>
    <t xml:space="preserve"> FORMAÇÃO DE DISSEMINADORES EXTERNOS DAS INFORMAÇÕES PREVIDENCIÁRIAS</t>
  </si>
  <si>
    <t>2272</t>
  </si>
  <si>
    <t xml:space="preserve"> GESTÃO E ADMINISTRAÇÃO DO PROGRAMA</t>
  </si>
  <si>
    <t>2284</t>
  </si>
  <si>
    <t xml:space="preserve"> PROMOÇÃO DE AÇÕES DE CONSCIENTIZAÇÃO E INFORMAÇÃO</t>
  </si>
  <si>
    <t>0087</t>
  </si>
  <si>
    <t xml:space="preserve"> GESTÃO DA POLÍTICA DE PREVIDÊNCIA SOCIAL</t>
  </si>
  <si>
    <t>4593</t>
  </si>
  <si>
    <t xml:space="preserve"> FORMULAÇÃO DE POLÍTICAS NA ÁREA DE PREVIDÊNCIA SOCIAL</t>
  </si>
  <si>
    <t>1480</t>
  </si>
  <si>
    <t xml:space="preserve"> ESTUDO PARA REFORMULAÇÃO DO SEGURO ACIDENTE DE TRABALHO</t>
  </si>
  <si>
    <t>2308</t>
  </si>
  <si>
    <t xml:space="preserve"> GESTÃO DE INFORMAÇÕES SOBRE POLÍTICAS DE PREVIDÊNCIA SOCIAL</t>
  </si>
  <si>
    <t>5645</t>
  </si>
  <si>
    <t xml:space="preserve"> IMPLANTAÇÃO DO SISTEMA INTEGRADO DE INFORMAÇÕES PREVIDENCIÁRIAS - SIPREV</t>
  </si>
  <si>
    <t>2304</t>
  </si>
  <si>
    <t xml:space="preserve"> ESTUDOS E PESQUISAS NO ÂMBITO DO REGIME GERAL DE PREVIDÊNCIA SOCIAL</t>
  </si>
  <si>
    <t>0088</t>
  </si>
  <si>
    <t xml:space="preserve"> INDENIZAÇÕES E PENSÕES ESPECIAIS DE RESPONSABILIDADE DA UNIÃO</t>
  </si>
  <si>
    <t>2572</t>
  </si>
  <si>
    <t xml:space="preserve"> REMUNERAÇÃO DOS AGENTES PAGADORES DE BENEFÍCIOS DE LEGISLAÇÃO ESPECIAL</t>
  </si>
  <si>
    <t>0536</t>
  </si>
  <si>
    <t xml:space="preserve"> PAGAMENTO DE BENEFÍCIOS DE LEGISLAÇÃO ESPECIAL</t>
  </si>
  <si>
    <t>Urbano</t>
  </si>
  <si>
    <t>2582</t>
  </si>
  <si>
    <t xml:space="preserve"> SERVIÇO DE PROCESSAMENTO DE DADOS DE BENEFÍCIOS DE LEGISLAÇÃO ESPECIAL</t>
  </si>
  <si>
    <t>009X</t>
  </si>
  <si>
    <t xml:space="preserve"> PAGAMENTO DE PENSÃO ÀS PESSOAS ATINGIDAS PELA HANSENÍASE</t>
  </si>
  <si>
    <t>0911</t>
  </si>
  <si>
    <t xml:space="preserve"> OPERAÇÕES ESPECIAIS - REMUNERAÇÃO DE AGENTES FINANCEIROS</t>
  </si>
  <si>
    <t>00K7</t>
  </si>
  <si>
    <t xml:space="preserve"> REMUNERAÇÃO DOS AGENTES PAGADORES DE BENEFÍCIOS PREVIDENCIÁRIOS (MPS)</t>
  </si>
  <si>
    <t>0909</t>
  </si>
  <si>
    <t xml:space="preserve"> OPERAÇÕES ESPECIAIS: OUTROS ENCARGOS ESPECIAIS</t>
  </si>
  <si>
    <t>00LU</t>
  </si>
  <si>
    <t xml:space="preserve"> PAGAMENTO DE PENSÕES - MONTEPIO CIVIL</t>
  </si>
  <si>
    <t>2061</t>
  </si>
  <si>
    <t xml:space="preserve"> PREVIDÊNCIA SOCIAL</t>
  </si>
  <si>
    <t>0E81</t>
  </si>
  <si>
    <t xml:space="preserve"> BENEFÍCIOS PREVIDENCIÁRIOS URBANOS</t>
  </si>
  <si>
    <t>0E82</t>
  </si>
  <si>
    <t xml:space="preserve"> BENEFÍCIOS PREVIDENCIÁRIOS RURAIS</t>
  </si>
  <si>
    <t>2292</t>
  </si>
  <si>
    <t xml:space="preserve"> SERVIÇO DE PROCESSAMENTO DE DADOS DE BENEFÍCIOS PREVIDENCIÁRIOS</t>
  </si>
  <si>
    <t>2563</t>
  </si>
  <si>
    <t xml:space="preserve"> AVALIAÇÃO DA QUALIDADE E PRODUTIVIDADE DOS SERVIÇOS NAS UNIDADES DE ATENDIMENTO DA PREVIDÊNCIA SOCIAL</t>
  </si>
  <si>
    <t>2564</t>
  </si>
  <si>
    <t xml:space="preserve"> CADASTRO NACIONAL DE INFORMAÇÕES SOCIAIS - CNIS</t>
  </si>
  <si>
    <t>2585</t>
  </si>
  <si>
    <t xml:space="preserve"> SERVIÇO DE REABILITAÇÃO PROFISSIONAL</t>
  </si>
  <si>
    <t>2587</t>
  </si>
  <si>
    <t xml:space="preserve"> SERVIÇOS DE ATENDIMENTO AOS USUÁRIOS DA PREVIDÊNCIA SOCIAL/OUVIDORIA DA PREVIDÊNCIA SOCIAL</t>
  </si>
  <si>
    <t>2591</t>
  </si>
  <si>
    <t xml:space="preserve"> SERVIÇOS DE CONCESSÃO, MANUTENÇÃO E CESSAÇÃO DE BENEFÍCIOS PREVIDENCIÁRIOS</t>
  </si>
  <si>
    <t>2593</t>
  </si>
  <si>
    <t xml:space="preserve"> FUNCIONAMENTO DAS UNIDADES DE ATENDIMENTO DA PREVIDÊNCIA SOCIAL</t>
  </si>
  <si>
    <t>4405</t>
  </si>
  <si>
    <t xml:space="preserve"> SERVIÇOS INTERATIVOS DA PREVIDÊNCIA SOCIAL- PREVFONE/PREVNET/PREVFÁCIL</t>
  </si>
  <si>
    <t>8426</t>
  </si>
  <si>
    <t xml:space="preserve"> REGULARIZAÇÃO E DESIMOBILIZAÇÃO DE IMÓVEIS DO INSS</t>
  </si>
  <si>
    <t>8869</t>
  </si>
  <si>
    <t xml:space="preserve"> REFORMAS E ADAPTAÇÕES DAS UNIDADES DO INSS</t>
  </si>
  <si>
    <t>009W</t>
  </si>
  <si>
    <t xml:space="preserve"> COMPENSAÇÃO PREVIDENCIÁRIA</t>
  </si>
  <si>
    <t>116V</t>
  </si>
  <si>
    <t xml:space="preserve"> INSTALAÇÃO DE UNIDADES DE FUNCIONAMENTO DO INSS</t>
  </si>
  <si>
    <t>20HT</t>
  </si>
  <si>
    <t xml:space="preserve"> SISTEMA NACIONAL DE INFORMAÇÕES DE REGISTRO CIVIL - SIRC</t>
  </si>
  <si>
    <t>2A57</t>
  </si>
  <si>
    <t xml:space="preserve"> REMUNERAÇÃO DOS SERVIÇOS POSTAIS</t>
  </si>
  <si>
    <t>0083</t>
  </si>
  <si>
    <t xml:space="preserve"> PREVIDÊNCIA SOCIAL BÁSICA</t>
  </si>
  <si>
    <t>0136</t>
  </si>
  <si>
    <t xml:space="preserve"> PAGAMENTO DE AUXÍLIO DOENÇA PREVIDENCIÁRIO, AUXÍLIO DOENÇA ACIDENTÁRIO E AUXÍLIO RECLUSÃO</t>
  </si>
  <si>
    <t>001O</t>
  </si>
  <si>
    <t xml:space="preserve"> PAGAMENTO DE APOSENTADORIAS - ÁREA RURAL</t>
  </si>
  <si>
    <t>001Q</t>
  </si>
  <si>
    <t xml:space="preserve"> PAGAMENTO DE PENSÕES - ÁREA RURAL</t>
  </si>
  <si>
    <t>0133</t>
  </si>
  <si>
    <t xml:space="preserve"> PAGAMENTO DE APOSENTADORIAS ESPECIAIS</t>
  </si>
  <si>
    <t>2910</t>
  </si>
  <si>
    <t xml:space="preserve"> REMUNERAÇÃO DOS AGENTES PAGADORES DE BENEFÍCIOS PREVIDENCIÁRIOS</t>
  </si>
  <si>
    <t>0141</t>
  </si>
  <si>
    <t xml:space="preserve"> PAGAMENTO DE SALÁRIO-MATERNIDADE</t>
  </si>
  <si>
    <t>0B48</t>
  </si>
  <si>
    <t xml:space="preserve"> REMUNERACAO AS INSTITUICOES FINANCEIRAS PELA REALIZACAO DO RECADASTRAMENTO PREVIDENCIARIO</t>
  </si>
  <si>
    <t>1F86</t>
  </si>
  <si>
    <t xml:space="preserve"> RECADASTRAMENTO PREVIDENCIÁRIO - CENSO</t>
  </si>
  <si>
    <t>2296</t>
  </si>
  <si>
    <t xml:space="preserve"> SERVIÇO DE PERÍCIA MÉDICA JUDICIAL</t>
  </si>
  <si>
    <t>001R</t>
  </si>
  <si>
    <t xml:space="preserve"> PAGAMENTO DE SALÁRIO-MATERNIDADE - ÁREA RURAL</t>
  </si>
  <si>
    <t>0117</t>
  </si>
  <si>
    <t xml:space="preserve"> PAGAMENTO DE SALÁRIO-FAMÍLIA</t>
  </si>
  <si>
    <t>001P</t>
  </si>
  <si>
    <t xml:space="preserve"> PAGAMENTO DE AUXÍLIO-DOENÇA PREVIDENCIÁRIO, AUXÍLIO-DOENÇA ACIDENTÁRIO E AUXÍLIO-RECLUSÃO - ÁREA RURAL</t>
  </si>
  <si>
    <t>0137</t>
  </si>
  <si>
    <t xml:space="preserve"> PAGAMENTO DE ABONO</t>
  </si>
  <si>
    <t>5092</t>
  </si>
  <si>
    <t xml:space="preserve"> IMPLANTAÇÃO DO SISTEMA DE ADMINISTRAÇÃO DE BENEFÍCIOS POR INCAPACIDADE-SABI</t>
  </si>
  <si>
    <t>2581</t>
  </si>
  <si>
    <t>2571</t>
  </si>
  <si>
    <t xml:space="preserve"> ORIENTAÇÃO AOS SEGURADOS PARA PREVENÇÃO DE DOENÇAS OCUPACIONAIS E DE ACIDENTES DO TRABALHO</t>
  </si>
  <si>
    <t>2578</t>
  </si>
  <si>
    <t xml:space="preserve"> SERVIÇO DE PERÍCIA MÉDICA</t>
  </si>
  <si>
    <t>8440</t>
  </si>
  <si>
    <t xml:space="preserve"> RECADASTRAMENTO PREVIDENCIÁRIO</t>
  </si>
  <si>
    <t>86BJ</t>
  </si>
  <si>
    <t xml:space="preserve"> REMUNERACAO DOS AGENTES PAGADORES DE BENEFICIOS PREVIDENCIARIOS (CREDITO EXTRAORDINARIO)</t>
  </si>
  <si>
    <t>0134</t>
  </si>
  <si>
    <t xml:space="preserve"> PAGAMENTO DE PENSÕES</t>
  </si>
  <si>
    <t>0132</t>
  </si>
  <si>
    <t xml:space="preserve"> PAGAMENTO DE APOSENTADORIAS</t>
  </si>
  <si>
    <t>0085</t>
  </si>
  <si>
    <t xml:space="preserve"> QUALIDADE DOS SERVIÇOS PREVIDENCIÁRIOS</t>
  </si>
  <si>
    <t>3896</t>
  </si>
  <si>
    <t xml:space="preserve"> MODERNIZAÇÃO E EXPANSÃO DA CAPACIDADE DE TECNOLOGIA E INFORMAÇÃO DA PREVIDÊNCIA SOCIAL</t>
  </si>
  <si>
    <t>5509</t>
  </si>
  <si>
    <t xml:space="preserve"> REFORMULAÇÃO DA REDE DE ATENDIMENTO DA PREVIDÊNCIA SOCIAL</t>
  </si>
  <si>
    <t>1478</t>
  </si>
  <si>
    <t xml:space="preserve"> MODERNIZAÇÃO DA GESTÃO ADMINISTRATIVA E DE SERVIÇOS PREVIDENCIÁRIOS</t>
  </si>
  <si>
    <t>7933</t>
  </si>
  <si>
    <t xml:space="preserve"> DISSEMINAÇÃO DO SISTEMA DE ADMINISTRAÇÃO DE BENEFÍCIOS POR INCAPACIDADE - SABI</t>
  </si>
  <si>
    <t>114M</t>
  </si>
  <si>
    <t xml:space="preserve"> RECUPERACAO, REFORMA E MODERNIZACAO DO EDIFICIO-SEDE DO INSS</t>
  </si>
  <si>
    <t>11U5</t>
  </si>
  <si>
    <t xml:space="preserve"> INSTALACAO DE AGENCIA DA PREVIDENCIA SOCIAL - APS</t>
  </si>
  <si>
    <t>2D15</t>
  </si>
  <si>
    <t xml:space="preserve"> GESTÃO DA MELHORIA CONTÍNUA ORGANIZACIONAL - PGA</t>
  </si>
  <si>
    <t>1279</t>
  </si>
  <si>
    <t>ANÁLISE E DIFUSÃO DA POLÍTICA EXTERNA BRASILEIRA</t>
  </si>
  <si>
    <t>09HB</t>
  </si>
  <si>
    <t>CONTRIBUIÇÃO DA UNIÃO, DE SUAS AUTARQUIAS E FUNDAÇÕES PARA O CUSTEIO DO REGIME DE PREVIDÊNCIA DOS SERVIDORES PÚBLICOS FEDERAIS</t>
  </si>
  <si>
    <t>RPPS</t>
  </si>
  <si>
    <t>0750</t>
  </si>
  <si>
    <t>APOIO ADMINISTRATIVO</t>
  </si>
  <si>
    <t>26000</t>
  </si>
  <si>
    <t>1073</t>
  </si>
  <si>
    <t>BRASIL UNIVERSITÁRIO</t>
  </si>
  <si>
    <t>1163</t>
  </si>
  <si>
    <t>BRASIL: DESTINO TURÍSTICO INTERNACIONAL</t>
  </si>
  <si>
    <t>0550</t>
  </si>
  <si>
    <t>CONTROLE EXTERNO</t>
  </si>
  <si>
    <t>20AK</t>
  </si>
  <si>
    <t>CONTRIBUIÇÃO DA UNIÃO, DE SUAS AUTARQUIAS E FUNDAÇÕES PARA O CUSTEIO DO REGIME DE PREVIDÊNCIA DOS SERVIDORES PÚBLICOS FEDERAIS DECORRENTE DA CRIAÇÃO E/OU PROVIMENTO DE CARGOS E FUNÇÕES E REESTRUTURAÇÃO DE CARGOS E CARREIRAS E REVISÃO DE REMUNERAÇÕES</t>
  </si>
  <si>
    <t>0581</t>
  </si>
  <si>
    <t>DEFESA DA ORDEM JURÍDICA</t>
  </si>
  <si>
    <t>1030</t>
  </si>
  <si>
    <t>DEMOCRATIZAÇÃO DO ACESSO À INFORMAÇÃO ARQUIVÍSTICA GOVERNAMENTAL</t>
  </si>
  <si>
    <t>1374</t>
  </si>
  <si>
    <t>DESENVOLVIMENTO DA EDUCAÇÃO ESPECIAL</t>
  </si>
  <si>
    <t>1062</t>
  </si>
  <si>
    <t>DESENVOLVIMENTO DA EDUCAÇÃO PROFISSIONAL E TECNOLÓGICA</t>
  </si>
  <si>
    <t>1376</t>
  </si>
  <si>
    <t>DESENVOLVIMENTO DO ENSINO FUNDAMENTAL</t>
  </si>
  <si>
    <t>1378</t>
  </si>
  <si>
    <t>DESENVOLVIMENTO DO ENSINO MEDIO</t>
  </si>
  <si>
    <t>0570</t>
  </si>
  <si>
    <t>GESTÃO DO PROCESSO ELEITORAL</t>
  </si>
  <si>
    <t>INDENIZAÇÕES E PENSÕES ESPECIAIS DE RESPONSABILIDADE DA UNIÃO</t>
  </si>
  <si>
    <t>PAGAMENTO DE BENEFÍCIOS DE LEGISLAÇÃO ESPECIAL</t>
  </si>
  <si>
    <t>009K</t>
  </si>
  <si>
    <t>COMPLEMENTAÇÃO DE APOSENTADORIAS E PENSÕES DA RFFSA</t>
  </si>
  <si>
    <t>0641</t>
  </si>
  <si>
    <t>INTELIGÊNCIA FEDERAL</t>
  </si>
  <si>
    <t>0391</t>
  </si>
  <si>
    <t>MINERAÇÃO E DESENVOLVIMENTO SUSTENTÁVEL</t>
  </si>
  <si>
    <t>0464</t>
  </si>
  <si>
    <t>NACIONAL DE ATIVIDADES ESPACIAIS - PNAE</t>
  </si>
  <si>
    <t>0901</t>
  </si>
  <si>
    <t>OPERAÇÕES ESPECIAIS: CUMPRIMENTO DE SENTENÇAS JUDICIAIS</t>
  </si>
  <si>
    <t>00DI</t>
  </si>
  <si>
    <t>CUMPRIMENTO DE SENTENÇAS JUDICIAIS DECORRENTE DE DÍVIDA PARA COM OS PLANOS DE BENEFÍCIOS PREVIDENCIÁRIOS E ASSISTENCIAL - NÚCLEOS</t>
  </si>
  <si>
    <t>00FB</t>
  </si>
  <si>
    <t>PAGAMENTO DE PASSIVOS JUDICIAIS/ADMINISTRATIVOS (JUROS URV, PARCELA AUTÔNOMA DE EQUIVALÊNCIA E ADICIONAL POR TEMPO DE SERVIÇO) – APOSENTADORIAS E PENSÕES</t>
  </si>
  <si>
    <t>00G5</t>
  </si>
  <si>
    <t>CONTRIBUIÇÃO DA UNIÃO, DE SUAS AUTARQUIAS E FUNDAÇÕES PARA O CUSTEIO DO REGIME DE PREVIDÊNCIA DOS SERVIDORES PÚBLICOS FEDERAIS DECORRENTE DO PAGAMENTO DE PRECATÓRIOS E REQUISIÇÕES DE PEQUENO VALOR</t>
  </si>
  <si>
    <t>0904</t>
  </si>
  <si>
    <t>OPERAÇÕES ESPECIAIS: OUTRAS TRANSFERÊNCIAS</t>
  </si>
  <si>
    <t>0042</t>
  </si>
  <si>
    <t>PESSOAL INATIVO E PENSIONISTAS DO SISTEMA EDUCACIONAL DO DISTRITO FEDERAL</t>
  </si>
  <si>
    <t>0043</t>
  </si>
  <si>
    <t>PESSOAL INATIVO E PENSIONISTAS DO SISTEMA DE SAÚDE DO DISTRITO FEDERAL</t>
  </si>
  <si>
    <t>OPERAÇÕES ESPECIAIS: OUTROS ENCARGOS ESPECIAIS</t>
  </si>
  <si>
    <t>00H7</t>
  </si>
  <si>
    <t>CONTRIBUIÇÃO DA UNIÃO PARA O CUSTEIO DO REGIME DE PREVIDÊNCIA DOS SERVIDORES PÚBLICOS FEDERAIS DECORRENTE DA CRIAÇÃO E/OU PROVIMENTO DE CARGOS E FUNÇÕES E REESTRUTURAÇÃO DE CARGOS E CARREIRAS E REVISÃO DE REMUNERAÇÕES</t>
  </si>
  <si>
    <t>0903</t>
  </si>
  <si>
    <t>OPERAÇÕES ESPECIAIS: TRANSFERÊNCIAS CONSTITUCIONAIS E AS DECORRENTES DE LEGISLAÇÃO ESPECÍFICA</t>
  </si>
  <si>
    <t>00F1</t>
  </si>
  <si>
    <t>PAGAMENTO DE PESSOAL INATIVO E PENSIONISTAS DA POLICIA MILITAR DO DISTRITO FEDERAL</t>
  </si>
  <si>
    <t>00F2</t>
  </si>
  <si>
    <t>PAGAMENTO DE PESSOAL INATIVO E PENSIONISTAS DO CORPO DE BOMBEIROS DO DISTRITO FEDERAL</t>
  </si>
  <si>
    <t>00NS</t>
  </si>
  <si>
    <t>PESSOAL INATIVO E PENSIONISTAS DAS POLÍCIAS CIVIL E MILITAR E DO CORPO DE BOMBEIROS DO DISTRITO FEDERAL</t>
  </si>
  <si>
    <t>0041</t>
  </si>
  <si>
    <t>PESSOAL INATIVO E PENSIONISTAS DO SISTEMA DE SEGURANÇA PÚBLICA DO DISTRITO FEDERAL (CF, ART. 21)</t>
  </si>
  <si>
    <t>0565</t>
  </si>
  <si>
    <t>PRESTAÇÃO JURISDICIONAL DO SUPREMO TRIBUNAL FEDERAL</t>
  </si>
  <si>
    <t>0566</t>
  </si>
  <si>
    <t>PRESTAÇÃO JURISDICIONAL MILITAR</t>
  </si>
  <si>
    <t>0571</t>
  </si>
  <si>
    <t>PRESTAÇÃO JURISDICIONAL TRABALHISTA</t>
  </si>
  <si>
    <t>PROGRAMA DE GESTAO E MANUTENCAO DO MINISTERIO DA CULTURA</t>
  </si>
  <si>
    <t>PROGRAMA DE GESTAO E MANUTENCAO DO MINISTERIO DO DESENVOLVIM</t>
  </si>
  <si>
    <t>PROGRAMA DE GESTAO E MANUTENCAO DO MINISTERIO DO TRABALHO E</t>
  </si>
  <si>
    <t>PROGRAMA DE GESTAO E MANUTENCAO DO MINISTERIO DO TURISMO</t>
  </si>
  <si>
    <t>0089</t>
  </si>
  <si>
    <t>PREVIDÊNCIA DE INATIVOS E PENSIONISTAS DA UNIÃO</t>
  </si>
  <si>
    <t>0182</t>
  </si>
  <si>
    <t>PAGAMENTO DE PENSÕES A SERVIDORES CIVIS</t>
  </si>
  <si>
    <t>36000</t>
  </si>
  <si>
    <t>0B31</t>
  </si>
  <si>
    <t>PAGAMENTO DE PESSOAL INATIVO E PENSIONISTAS DO ESTADO DO MATO GROSSO (ART. 27 DA LEI COMPLEMENTAR N: 31, DE 1977) (CREDITO EXTRAORDINARIO)</t>
  </si>
  <si>
    <t>0C05</t>
  </si>
  <si>
    <t>REESTRUTURAÇÃO DE CARGOS, CARREIRAS E REVISÃO DE REMUNERAÇÕES - APOSENTADORIAS, REFORMAS E PENSÕES</t>
  </si>
  <si>
    <t>0397</t>
  </si>
  <si>
    <t>ENCARGOS PREVIDENCIÁRIOS COM APOSENTADOS E PENSIONISTAS DO EXTINTO INSTITUTO DE PREVIDÊNCIA DOS CONGRESSISTAS - IPC</t>
  </si>
  <si>
    <t>0055</t>
  </si>
  <si>
    <t>PAGAMENTO DE PESSOAL INATIVO E PENSIONISTAS DA EXTINTA VIA FÉRREA DO RIO GRANDE DO SUL - VIFER (LEI Nº 3.887, DE 1969)</t>
  </si>
  <si>
    <t>0054</t>
  </si>
  <si>
    <t>PAGAMENTO DE PESSOAL INATIVO E PENSIONISTAS DO ESTADO DO MATO GROSSO (ART. 27 DA LEI COMPLEMENTAR Nº 31, DE 1977)</t>
  </si>
  <si>
    <t>0053</t>
  </si>
  <si>
    <t>PAGAMENTO DE PESSOAL INATIVO E PENSIONISTAS DE EXTINTOS ESTADOS E TERRITÓRIOS</t>
  </si>
  <si>
    <t>0181</t>
  </si>
  <si>
    <t>PAGAMENTO DE APOSENTADORIAS E PENSÕES - SERVIDORES CIVIS</t>
  </si>
  <si>
    <t>0396</t>
  </si>
  <si>
    <t>PAGAMENTO DE APOSENTADORIAS E PENSÕES</t>
  </si>
  <si>
    <t>0179</t>
  </si>
  <si>
    <t>PAGAMENTO DE APOSENTADORIAS E PENSÕES - MILITARES DAS FORÇAS ARMADAS</t>
  </si>
  <si>
    <t>2101</t>
  </si>
  <si>
    <t>PROGRAMA DE GESTÃO E MANUTENÇÃO DA PRESIDÊNCIA DA REPÚBLICA</t>
  </si>
  <si>
    <t>2108</t>
  </si>
  <si>
    <t>PROGRAMA DE GESTÃO E MANUTENÇÃO DO MINISTÉRIO DA DEFESA</t>
  </si>
  <si>
    <t>2109</t>
  </si>
  <si>
    <t>PROGRAMA DE GESTÃO E MANUTENÇÃO DO MINISTÉRIO DA EDUCAÇÃO</t>
  </si>
  <si>
    <t>2114</t>
  </si>
  <si>
    <t>PROGRAMA DE GESTÃO E MANUTENÇÃO DO MINISTÉRIO DA PREVIDÊNCIA SOCIAL</t>
  </si>
  <si>
    <t>2119</t>
  </si>
  <si>
    <t>PROGRAMA DE GESTÃO E MANUTENÇÃO DO MINISTÉRIO DE MINAS E ENERGIA</t>
  </si>
  <si>
    <t>2126</t>
  </si>
  <si>
    <t>PROGRAMA DE GESTÃO E MANUTENÇÃO DO MINISTÉRIO DOS TRANSPORTES</t>
  </si>
  <si>
    <t>1184</t>
  </si>
  <si>
    <t>SEGURANÇA E SAÚDE NO TRABALHO</t>
  </si>
  <si>
    <t>Descrição Programa</t>
  </si>
  <si>
    <t>Descrição Ação</t>
  </si>
  <si>
    <t>Tipo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</si>
</sst>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3" formatCode="_-* #,##0.00_-;\-* #,##0.00_-;_-* &quot;-&quot;??_-;_-@_-"/>
    <numFmt numFmtId="164" formatCode="@*."/>
    <numFmt numFmtId="165" formatCode="_-* #,##0_-;\-* #,##0_-;_-* &quot;-&quot;??_-;_-@_-"/>
    <numFmt numFmtId="166" formatCode="0.0%"/>
    <numFmt numFmtId="167" formatCode="* #,##0;* \-#,##0;* &quot;–&quot;;@"/>
    <numFmt numFmtId="168" formatCode="_-* #,##0.0_-;\-* #,##0.0_-;_-* &quot;-&quot;??_-;_-@_-"/>
    <numFmt numFmtId="169" formatCode="0.0"/>
    <numFmt numFmtId="170" formatCode="0.000%"/>
    <numFmt numFmtId="171" formatCode="#,##0.0"/>
    <numFmt numFmtId="172" formatCode="#,##0.000"/>
    <numFmt numFmtId="173" formatCode="###0.00;###0.00"/>
    <numFmt numFmtId="174" formatCode="###0.0;###0.0"/>
    <numFmt numFmtId="175" formatCode="###0;###0"/>
    <numFmt numFmtId="176" formatCode="#,##0;#,##0"/>
  </numFmts>
  <fonts count="11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Arial"/>
      <family val="2"/>
    </font>
    <font>
      <b/>
      <sz val="8"/>
      <color indexed="8"/>
      <name val="Arial"/>
      <family val="2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  <font>
      <sz val="11"/>
      <name val="Arial Narrow"/>
      <family val="2"/>
    </font>
    <font>
      <sz val="10"/>
      <color theme="1"/>
      <name val="Arial Narrow"/>
      <family val="2"/>
    </font>
    <font>
      <sz val="10"/>
      <name val="Arial Narrow"/>
      <family val="2"/>
    </font>
    <font>
      <i/>
      <sz val="10"/>
      <color theme="1"/>
      <name val="Arial Narrow"/>
      <family val="2"/>
    </font>
    <font>
      <i/>
      <sz val="10"/>
      <name val="Arial Narrow"/>
      <family val="2"/>
    </font>
    <font>
      <sz val="12"/>
      <color theme="1"/>
      <name val="Arial Narrow"/>
      <family val="2"/>
    </font>
    <font>
      <b/>
      <sz val="11"/>
      <name val="Arial Narrow"/>
      <family val="2"/>
    </font>
    <font>
      <i/>
      <sz val="18"/>
      <color theme="1"/>
      <name val="Arial Narrow"/>
      <family val="2"/>
    </font>
    <font>
      <b/>
      <sz val="8"/>
      <color rgb="FFFF0000"/>
      <name val="Arial"/>
      <family val="2"/>
    </font>
    <font>
      <sz val="8"/>
      <color rgb="FFFF0000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b/>
      <vertAlign val="superscript"/>
      <sz val="8"/>
      <color indexed="8"/>
      <name val="Arial"/>
      <family val="2"/>
    </font>
    <font>
      <b/>
      <sz val="12"/>
      <color theme="1"/>
      <name val="Arial Narrow"/>
      <family val="2"/>
    </font>
    <font>
      <sz val="12"/>
      <color indexed="8"/>
      <name val="Arial Narrow"/>
      <family val="2"/>
    </font>
    <font>
      <sz val="11"/>
      <color rgb="FFC00000"/>
      <name val="Arial Narrow"/>
      <family val="2"/>
    </font>
    <font>
      <b/>
      <sz val="12"/>
      <color rgb="FFC00000"/>
      <name val="Arial Narrow"/>
      <family val="2"/>
    </font>
    <font>
      <b/>
      <sz val="22"/>
      <color theme="1"/>
      <name val="Arial Narrow"/>
      <family val="2"/>
    </font>
    <font>
      <sz val="10"/>
      <color theme="1"/>
      <name val="Arial"/>
      <family val="2"/>
    </font>
    <font>
      <b/>
      <sz val="9"/>
      <color rgb="FF000000"/>
      <name val="Arial1"/>
    </font>
    <font>
      <sz val="7"/>
      <color rgb="FF000000"/>
      <name val="Arial1"/>
    </font>
    <font>
      <sz val="7"/>
      <color rgb="FF000000"/>
      <name val="Times New Roman"/>
      <family val="1"/>
    </font>
    <font>
      <sz val="7"/>
      <color rgb="FF000000"/>
      <name val="Times New Roman1"/>
    </font>
    <font>
      <b/>
      <sz val="7"/>
      <color rgb="FF000000"/>
      <name val="Arial1"/>
    </font>
    <font>
      <b/>
      <sz val="7"/>
      <color rgb="FF000000"/>
      <name val="Times New Roman"/>
      <family val="1"/>
    </font>
    <font>
      <b/>
      <sz val="7"/>
      <color rgb="FF000000"/>
      <name val="Small Fonts"/>
    </font>
    <font>
      <sz val="10"/>
      <color rgb="FF000000"/>
      <name val="Small Fonts"/>
    </font>
    <font>
      <b/>
      <sz val="8"/>
      <color rgb="FF000000"/>
      <name val="Arial1"/>
    </font>
    <font>
      <sz val="8"/>
      <color rgb="FF000000"/>
      <name val="Times New Roman"/>
      <family val="1"/>
    </font>
    <font>
      <sz val="8"/>
      <color rgb="FF000000"/>
      <name val="Arial1"/>
    </font>
    <font>
      <sz val="9"/>
      <color rgb="FF000000"/>
      <name val="Arial1"/>
    </font>
    <font>
      <sz val="10"/>
      <color rgb="FF000000"/>
      <name val="Arial1"/>
    </font>
    <font>
      <sz val="9"/>
      <color rgb="FF000000"/>
      <name val="Times New Roman"/>
      <family val="1"/>
    </font>
    <font>
      <sz val="9"/>
      <color rgb="FFFFFFFF"/>
      <name val="Arial1"/>
    </font>
    <font>
      <b/>
      <vertAlign val="superscript"/>
      <sz val="8"/>
      <color rgb="FF000000"/>
      <name val="Arial1"/>
    </font>
    <font>
      <sz val="6"/>
      <color rgb="FF000000"/>
      <name val="Arial1"/>
    </font>
    <font>
      <sz val="12"/>
      <color rgb="FF000000"/>
      <name val="Times New Roman1"/>
    </font>
    <font>
      <sz val="12"/>
      <color rgb="FF000000"/>
      <name val="Times New Roman"/>
      <family val="1"/>
    </font>
    <font>
      <b/>
      <sz val="9"/>
      <color rgb="FFFFFFFF"/>
      <name val="Arial1"/>
    </font>
    <font>
      <sz val="6"/>
      <color theme="1"/>
      <name val="Times New Roman"/>
      <family val="1"/>
    </font>
    <font>
      <b/>
      <sz val="12"/>
      <color theme="1"/>
      <name val="Arial"/>
      <family val="2"/>
    </font>
    <font>
      <sz val="12"/>
      <color theme="1"/>
      <name val="Times New Roman"/>
      <family val="1"/>
    </font>
    <font>
      <b/>
      <sz val="8"/>
      <color theme="1"/>
      <name val="Times New Roman"/>
      <family val="1"/>
    </font>
    <font>
      <sz val="8"/>
      <color theme="1"/>
      <name val="Times New Roman"/>
      <family val="1"/>
    </font>
    <font>
      <sz val="6.5"/>
      <color theme="1"/>
      <name val="Times New Roman"/>
      <family val="1"/>
    </font>
    <font>
      <sz val="8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7"/>
      <color indexed="8"/>
      <name val="Arial"/>
      <family val="1"/>
      <charset val="204"/>
    </font>
    <font>
      <sz val="7"/>
      <color indexed="8"/>
      <name val="Arial"/>
      <family val="2"/>
    </font>
    <font>
      <sz val="8"/>
      <color rgb="FF000000"/>
      <name val="Arial2"/>
    </font>
    <font>
      <b/>
      <sz val="8"/>
      <color rgb="FF000000"/>
      <name val="Arial2"/>
    </font>
    <font>
      <sz val="5.5"/>
      <color theme="1"/>
      <name val="Times New Roman"/>
      <family val="1"/>
    </font>
    <font>
      <b/>
      <sz val="7"/>
      <color indexed="8"/>
      <name val="Arial"/>
      <family val="1"/>
      <charset val="204"/>
    </font>
    <font>
      <b/>
      <sz val="7"/>
      <color indexed="8"/>
      <name val="Arial"/>
      <family val="2"/>
    </font>
    <font>
      <b/>
      <sz val="8"/>
      <color indexed="8"/>
      <name val="Times New Roman"/>
      <family val="1"/>
      <charset val="204"/>
    </font>
    <font>
      <sz val="7"/>
      <color rgb="FF000000"/>
      <name val="Small Fonts"/>
    </font>
    <font>
      <i/>
      <sz val="12"/>
      <color rgb="FF000000"/>
      <name val="Times New Roman"/>
      <family val="1"/>
    </font>
    <font>
      <sz val="7"/>
      <color rgb="FF000000"/>
      <name val="Arial"/>
      <family val="2"/>
    </font>
    <font>
      <b/>
      <sz val="14"/>
      <color rgb="FF000000"/>
      <name val="Arial1"/>
    </font>
    <font>
      <sz val="8"/>
      <color rgb="FF000000"/>
      <name val="Times New Roman1"/>
    </font>
    <font>
      <b/>
      <sz val="6"/>
      <color rgb="FF000000"/>
      <name val="Arial1"/>
    </font>
    <font>
      <b/>
      <i/>
      <sz val="6"/>
      <color rgb="FF000000"/>
      <name val="Arial1"/>
    </font>
    <font>
      <b/>
      <sz val="9"/>
      <color rgb="FF000000"/>
      <name val="Arial2"/>
    </font>
    <font>
      <sz val="9"/>
      <color rgb="FF000000"/>
      <name val="Arial2"/>
    </font>
    <font>
      <i/>
      <sz val="8"/>
      <color rgb="FF000000"/>
      <name val="Arial2"/>
    </font>
    <font>
      <vertAlign val="superscript"/>
      <sz val="8"/>
      <color rgb="FF000000"/>
      <name val="Arial1"/>
    </font>
    <font>
      <b/>
      <i/>
      <sz val="8"/>
      <color rgb="FF000000"/>
      <name val="Arial1"/>
    </font>
    <font>
      <sz val="12"/>
      <color rgb="FF000000"/>
      <name val="Arial1"/>
    </font>
    <font>
      <b/>
      <sz val="10"/>
      <color rgb="FF000000"/>
      <name val="Arial2"/>
    </font>
    <font>
      <b/>
      <sz val="10"/>
      <color rgb="FF000000"/>
      <name val="Arial1"/>
    </font>
    <font>
      <sz val="10"/>
      <color rgb="FF000000"/>
      <name val="Arial2"/>
    </font>
    <font>
      <sz val="7"/>
      <color rgb="FF000000"/>
      <name val="Arial2"/>
    </font>
    <font>
      <b/>
      <sz val="5.5"/>
      <color rgb="FF000000"/>
      <name val="Calibri"/>
      <family val="2"/>
    </font>
    <font>
      <sz val="5.5"/>
      <color rgb="FF000000"/>
      <name val="Calibri"/>
      <family val="2"/>
    </font>
    <font>
      <b/>
      <sz val="7"/>
      <color rgb="FF000000"/>
      <name val="Arial2"/>
    </font>
    <font>
      <b/>
      <sz val="7"/>
      <color rgb="FF000000"/>
      <name val="Calibri"/>
      <family val="2"/>
    </font>
    <font>
      <sz val="6"/>
      <color rgb="FF000080"/>
      <name val="Arial1"/>
    </font>
    <font>
      <b/>
      <sz val="11"/>
      <color rgb="FF000000"/>
      <name val="Calibri"/>
      <family val="2"/>
    </font>
    <font>
      <sz val="7"/>
      <color rgb="FF000000"/>
      <name val="Calibri"/>
      <family val="2"/>
    </font>
    <font>
      <i/>
      <sz val="8"/>
      <name val="Arial Narrow"/>
      <family val="2"/>
    </font>
    <font>
      <i/>
      <vertAlign val="superscript"/>
      <sz val="10"/>
      <color theme="1"/>
      <name val="Arial Narrow"/>
      <family val="2"/>
    </font>
    <font>
      <sz val="9"/>
      <color theme="1"/>
      <name val="Arial Narrow"/>
      <family val="2"/>
    </font>
    <font>
      <b/>
      <sz val="9"/>
      <color theme="1"/>
      <name val="Arial Narrow"/>
      <family val="2"/>
    </font>
    <font>
      <b/>
      <sz val="9"/>
      <name val="Arial Narrow"/>
      <family val="2"/>
    </font>
    <font>
      <sz val="9"/>
      <name val="Arial Narrow"/>
      <family val="2"/>
    </font>
    <font>
      <i/>
      <sz val="9"/>
      <name val="Arial Narrow"/>
      <family val="2"/>
    </font>
    <font>
      <i/>
      <sz val="9"/>
      <color theme="1"/>
      <name val="Arial Narrow"/>
      <family val="2"/>
    </font>
    <font>
      <sz val="11"/>
      <color theme="0"/>
      <name val="Arial Narrow"/>
      <family val="2"/>
    </font>
    <font>
      <b/>
      <sz val="9"/>
      <color theme="0"/>
      <name val="Arial"/>
      <family val="2"/>
    </font>
    <font>
      <b/>
      <sz val="9"/>
      <color rgb="FFFFFFFF"/>
      <name val="Arial"/>
      <family val="2"/>
    </font>
  </fonts>
  <fills count="5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CCFFFF"/>
        <bgColor rgb="FFCCFFFF"/>
      </patternFill>
    </fill>
    <fill>
      <patternFill patternType="solid">
        <fgColor theme="7" tint="0.79998168889431442"/>
        <bgColor rgb="FFCCFFFF"/>
      </patternFill>
    </fill>
    <fill>
      <patternFill patternType="solid">
        <fgColor theme="5" tint="0.79998168889431442"/>
        <bgColor rgb="FFCCFFFF"/>
      </patternFill>
    </fill>
    <fill>
      <patternFill patternType="solid">
        <fgColor theme="0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theme="8" tint="0.39997558519241921"/>
        <bgColor rgb="FFFFFFFF"/>
      </patternFill>
    </fill>
  </fills>
  <borders count="7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thin">
        <color rgb="FFCCFFFF"/>
      </bottom>
      <diagonal/>
    </border>
    <border>
      <left/>
      <right/>
      <top style="thin">
        <color rgb="FFCCFFFF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dotted">
        <color rgb="FF898B81"/>
      </right>
      <top/>
      <bottom style="dotted">
        <color rgb="FF898B8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dotted">
        <color rgb="FF898B81"/>
      </left>
      <right style="dotted">
        <color rgb="FF898B81"/>
      </right>
      <top style="dotted">
        <color rgb="FF898B81"/>
      </top>
      <bottom style="dotted">
        <color rgb="FF898B81"/>
      </bottom>
      <diagonal/>
    </border>
    <border>
      <left/>
      <right/>
      <top style="dotted">
        <color rgb="FF898B81"/>
      </top>
      <bottom style="thin">
        <color indexed="64"/>
      </bottom>
      <diagonal/>
    </border>
    <border>
      <left style="thin">
        <color rgb="FF3877A6"/>
      </left>
      <right style="thin">
        <color rgb="FF3877A6"/>
      </right>
      <top style="thin">
        <color rgb="FF3877A6"/>
      </top>
      <bottom/>
      <diagonal/>
    </border>
  </borders>
  <cellStyleXfs count="46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78" fillId="0" borderId="47" applyNumberFormat="0" applyProtection="0">
      <alignment horizontal="center"/>
    </xf>
    <xf numFmtId="0" fontId="59" fillId="0" borderId="39" applyNumberFormat="0" applyProtection="0">
      <alignment horizontal="center"/>
    </xf>
  </cellStyleXfs>
  <cellXfs count="731">
    <xf numFmtId="0" fontId="0" fillId="0" borderId="0" xfId="0"/>
    <xf numFmtId="0" fontId="0" fillId="0" borderId="0" xfId="0" applyAlignment="1">
      <alignment horizontal="center" vertical="center"/>
    </xf>
    <xf numFmtId="17" fontId="0" fillId="0" borderId="0" xfId="0" applyNumberFormat="1"/>
    <xf numFmtId="0" fontId="19" fillId="0" borderId="15" xfId="0" applyFont="1" applyBorder="1" applyAlignment="1">
      <alignment horizontal="center" vertical="center"/>
    </xf>
    <xf numFmtId="0" fontId="18" fillId="0" borderId="14" xfId="0" applyFont="1" applyBorder="1" applyAlignment="1">
      <alignment horizontal="center" vertical="center"/>
    </xf>
    <xf numFmtId="0" fontId="18" fillId="0" borderId="14" xfId="0" quotePrefix="1" applyFont="1" applyBorder="1" applyAlignment="1">
      <alignment horizontal="center" vertical="center"/>
    </xf>
    <xf numFmtId="167" fontId="19" fillId="0" borderId="16" xfId="0" applyNumberFormat="1" applyFont="1" applyBorder="1" applyAlignment="1">
      <alignment horizontal="right" vertical="center"/>
    </xf>
    <xf numFmtId="167" fontId="18" fillId="0" borderId="0" xfId="0" applyNumberFormat="1" applyFont="1" applyAlignment="1">
      <alignment horizontal="right" vertical="center"/>
    </xf>
    <xf numFmtId="167" fontId="0" fillId="0" borderId="0" xfId="0" applyNumberFormat="1"/>
    <xf numFmtId="0" fontId="0" fillId="33" borderId="0" xfId="0" applyFill="1"/>
    <xf numFmtId="167" fontId="0" fillId="33" borderId="21" xfId="0" applyNumberFormat="1" applyFill="1" applyBorder="1"/>
    <xf numFmtId="0" fontId="0" fillId="33" borderId="23" xfId="0" applyFill="1" applyBorder="1"/>
    <xf numFmtId="167" fontId="0" fillId="33" borderId="24" xfId="0" applyNumberFormat="1" applyFill="1" applyBorder="1"/>
    <xf numFmtId="0" fontId="0" fillId="33" borderId="19" xfId="0" applyFill="1" applyBorder="1" applyAlignment="1">
      <alignment horizontal="center" vertical="center"/>
    </xf>
    <xf numFmtId="168" fontId="20" fillId="33" borderId="0" xfId="42" applyNumberFormat="1" applyFont="1" applyFill="1" applyBorder="1" applyAlignment="1">
      <alignment vertical="center"/>
    </xf>
    <xf numFmtId="0" fontId="20" fillId="33" borderId="0" xfId="0" applyFont="1" applyFill="1" applyAlignment="1">
      <alignment vertical="center"/>
    </xf>
    <xf numFmtId="0" fontId="20" fillId="33" borderId="0" xfId="0" applyFont="1" applyFill="1" applyAlignment="1">
      <alignment vertical="center" textRotation="90"/>
    </xf>
    <xf numFmtId="0" fontId="20" fillId="33" borderId="10" xfId="0" applyFont="1" applyFill="1" applyBorder="1" applyAlignment="1">
      <alignment vertical="center"/>
    </xf>
    <xf numFmtId="0" fontId="25" fillId="33" borderId="0" xfId="0" applyFont="1" applyFill="1" applyAlignment="1">
      <alignment vertical="center"/>
    </xf>
    <xf numFmtId="166" fontId="25" fillId="33" borderId="0" xfId="43" applyNumberFormat="1" applyFont="1" applyFill="1" applyBorder="1" applyAlignment="1">
      <alignment vertical="center"/>
    </xf>
    <xf numFmtId="168" fontId="25" fillId="33" borderId="0" xfId="42" applyNumberFormat="1" applyFont="1" applyFill="1" applyBorder="1" applyAlignment="1">
      <alignment vertical="center"/>
    </xf>
    <xf numFmtId="0" fontId="25" fillId="33" borderId="0" xfId="0" applyFont="1" applyFill="1" applyAlignment="1">
      <alignment vertical="center" textRotation="90"/>
    </xf>
    <xf numFmtId="164" fontId="26" fillId="33" borderId="0" xfId="0" applyNumberFormat="1" applyFont="1" applyFill="1" applyAlignment="1">
      <alignment vertical="center"/>
    </xf>
    <xf numFmtId="166" fontId="25" fillId="33" borderId="10" xfId="43" applyNumberFormat="1" applyFont="1" applyFill="1" applyBorder="1" applyAlignment="1">
      <alignment vertical="center"/>
    </xf>
    <xf numFmtId="166" fontId="25" fillId="38" borderId="0" xfId="43" applyNumberFormat="1" applyFont="1" applyFill="1" applyBorder="1" applyAlignment="1">
      <alignment vertical="center"/>
    </xf>
    <xf numFmtId="165" fontId="22" fillId="37" borderId="0" xfId="42" applyNumberFormat="1" applyFont="1" applyFill="1" applyBorder="1" applyAlignment="1">
      <alignment vertical="center"/>
    </xf>
    <xf numFmtId="165" fontId="22" fillId="35" borderId="0" xfId="42" applyNumberFormat="1" applyFont="1" applyFill="1" applyBorder="1" applyAlignment="1">
      <alignment vertical="center"/>
    </xf>
    <xf numFmtId="0" fontId="22" fillId="35" borderId="25" xfId="0" applyFont="1" applyFill="1" applyBorder="1" applyAlignment="1">
      <alignment vertical="center"/>
    </xf>
    <xf numFmtId="165" fontId="22" fillId="35" borderId="25" xfId="42" applyNumberFormat="1" applyFont="1" applyFill="1" applyBorder="1" applyAlignment="1">
      <alignment vertical="center"/>
    </xf>
    <xf numFmtId="165" fontId="20" fillId="38" borderId="0" xfId="42" applyNumberFormat="1" applyFont="1" applyFill="1" applyBorder="1" applyAlignment="1">
      <alignment vertical="center"/>
    </xf>
    <xf numFmtId="0" fontId="22" fillId="37" borderId="25" xfId="0" applyFont="1" applyFill="1" applyBorder="1" applyAlignment="1">
      <alignment vertical="center"/>
    </xf>
    <xf numFmtId="165" fontId="22" fillId="37" borderId="25" xfId="42" applyNumberFormat="1" applyFont="1" applyFill="1" applyBorder="1" applyAlignment="1">
      <alignment vertical="center"/>
    </xf>
    <xf numFmtId="0" fontId="20" fillId="33" borderId="13" xfId="0" applyFont="1" applyFill="1" applyBorder="1" applyAlignment="1">
      <alignment horizontal="center" vertical="center"/>
    </xf>
    <xf numFmtId="0" fontId="21" fillId="33" borderId="13" xfId="0" applyFont="1" applyFill="1" applyBorder="1" applyAlignment="1">
      <alignment horizontal="center" vertical="center"/>
    </xf>
    <xf numFmtId="0" fontId="20" fillId="33" borderId="0" xfId="0" applyFont="1" applyFill="1" applyAlignment="1">
      <alignment horizontal="center" vertical="center"/>
    </xf>
    <xf numFmtId="0" fontId="20" fillId="33" borderId="10" xfId="0" applyFont="1" applyFill="1" applyBorder="1" applyAlignment="1">
      <alignment horizontal="center" vertical="center"/>
    </xf>
    <xf numFmtId="0" fontId="21" fillId="33" borderId="10" xfId="0" applyFont="1" applyFill="1" applyBorder="1" applyAlignment="1">
      <alignment horizontal="center" vertical="center"/>
    </xf>
    <xf numFmtId="0" fontId="20" fillId="33" borderId="0" xfId="0" applyFont="1" applyFill="1" applyAlignment="1">
      <alignment horizontal="left" vertical="center"/>
    </xf>
    <xf numFmtId="0" fontId="27" fillId="33" borderId="0" xfId="0" applyFont="1" applyFill="1" applyAlignment="1">
      <alignment horizontal="left" vertical="center"/>
    </xf>
    <xf numFmtId="0" fontId="20" fillId="33" borderId="10" xfId="0" applyFont="1" applyFill="1" applyBorder="1" applyAlignment="1">
      <alignment horizontal="left" vertical="center"/>
    </xf>
    <xf numFmtId="0" fontId="27" fillId="33" borderId="10" xfId="0" applyFont="1" applyFill="1" applyBorder="1" applyAlignment="1">
      <alignment horizontal="left" vertical="center"/>
    </xf>
    <xf numFmtId="0" fontId="20" fillId="38" borderId="0" xfId="0" applyFont="1" applyFill="1" applyAlignment="1">
      <alignment vertical="center"/>
    </xf>
    <xf numFmtId="0" fontId="20" fillId="38" borderId="12" xfId="0" applyFont="1" applyFill="1" applyBorder="1" applyAlignment="1">
      <alignment vertical="center"/>
    </xf>
    <xf numFmtId="165" fontId="20" fillId="38" borderId="12" xfId="42" applyNumberFormat="1" applyFont="1" applyFill="1" applyBorder="1" applyAlignment="1">
      <alignment vertical="center"/>
    </xf>
    <xf numFmtId="0" fontId="20" fillId="38" borderId="26" xfId="0" applyFont="1" applyFill="1" applyBorder="1" applyAlignment="1">
      <alignment vertical="center"/>
    </xf>
    <xf numFmtId="165" fontId="20" fillId="38" borderId="26" xfId="42" applyNumberFormat="1" applyFont="1" applyFill="1" applyBorder="1" applyAlignment="1">
      <alignment vertical="center"/>
    </xf>
    <xf numFmtId="168" fontId="20" fillId="33" borderId="10" xfId="42" applyNumberFormat="1" applyFont="1" applyFill="1" applyBorder="1" applyAlignment="1">
      <alignment vertical="center"/>
    </xf>
    <xf numFmtId="0" fontId="22" fillId="33" borderId="10" xfId="0" applyFont="1" applyFill="1" applyBorder="1" applyAlignment="1">
      <alignment horizontal="center" vertical="center"/>
    </xf>
    <xf numFmtId="0" fontId="22" fillId="37" borderId="0" xfId="0" applyFont="1" applyFill="1" applyAlignment="1">
      <alignment horizontal="left" vertical="center" indent="1"/>
    </xf>
    <xf numFmtId="0" fontId="28" fillId="35" borderId="25" xfId="0" applyFont="1" applyFill="1" applyBorder="1" applyAlignment="1">
      <alignment vertical="center"/>
    </xf>
    <xf numFmtId="0" fontId="22" fillId="35" borderId="0" xfId="0" applyFont="1" applyFill="1" applyAlignment="1">
      <alignment horizontal="left" vertical="center" indent="1"/>
    </xf>
    <xf numFmtId="0" fontId="22" fillId="33" borderId="0" xfId="0" applyFont="1" applyFill="1" applyAlignment="1">
      <alignment horizontal="left" vertical="center" indent="1"/>
    </xf>
    <xf numFmtId="0" fontId="23" fillId="38" borderId="0" xfId="0" applyFont="1" applyFill="1" applyAlignment="1">
      <alignment vertical="center"/>
    </xf>
    <xf numFmtId="0" fontId="28" fillId="37" borderId="25" xfId="0" applyFont="1" applyFill="1" applyBorder="1" applyAlignment="1">
      <alignment vertical="center"/>
    </xf>
    <xf numFmtId="0" fontId="28" fillId="40" borderId="25" xfId="0" applyFont="1" applyFill="1" applyBorder="1" applyAlignment="1">
      <alignment vertical="center"/>
    </xf>
    <xf numFmtId="168" fontId="22" fillId="40" borderId="0" xfId="42" applyNumberFormat="1" applyFont="1" applyFill="1" applyBorder="1" applyAlignment="1">
      <alignment vertical="center"/>
    </xf>
    <xf numFmtId="168" fontId="22" fillId="40" borderId="25" xfId="42" applyNumberFormat="1" applyFont="1" applyFill="1" applyBorder="1" applyAlignment="1">
      <alignment vertical="center"/>
    </xf>
    <xf numFmtId="168" fontId="22" fillId="33" borderId="0" xfId="42" applyNumberFormat="1" applyFont="1" applyFill="1" applyBorder="1" applyAlignment="1">
      <alignment vertical="center"/>
    </xf>
    <xf numFmtId="166" fontId="25" fillId="40" borderId="0" xfId="43" applyNumberFormat="1" applyFont="1" applyFill="1" applyBorder="1" applyAlignment="1">
      <alignment vertical="center"/>
    </xf>
    <xf numFmtId="0" fontId="23" fillId="33" borderId="0" xfId="0" applyFont="1" applyFill="1" applyAlignment="1">
      <alignment vertical="center"/>
    </xf>
    <xf numFmtId="166" fontId="26" fillId="33" borderId="0" xfId="43" applyNumberFormat="1" applyFont="1" applyFill="1" applyBorder="1" applyAlignment="1">
      <alignment vertical="center"/>
    </xf>
    <xf numFmtId="166" fontId="23" fillId="40" borderId="0" xfId="43" applyNumberFormat="1" applyFont="1" applyFill="1" applyBorder="1" applyAlignment="1">
      <alignment vertical="center"/>
    </xf>
    <xf numFmtId="166" fontId="23" fillId="33" borderId="0" xfId="43" applyNumberFormat="1" applyFont="1" applyFill="1" applyBorder="1" applyAlignment="1">
      <alignment vertical="center"/>
    </xf>
    <xf numFmtId="166" fontId="23" fillId="40" borderId="10" xfId="43" applyNumberFormat="1" applyFont="1" applyFill="1" applyBorder="1" applyAlignment="1">
      <alignment vertical="center"/>
    </xf>
    <xf numFmtId="0" fontId="26" fillId="33" borderId="0" xfId="0" applyFont="1" applyFill="1" applyAlignment="1">
      <alignment horizontal="left" vertical="center"/>
    </xf>
    <xf numFmtId="0" fontId="24" fillId="40" borderId="0" xfId="0" applyFont="1" applyFill="1" applyAlignment="1">
      <alignment horizontal="left" vertical="center"/>
    </xf>
    <xf numFmtId="168" fontId="22" fillId="37" borderId="25" xfId="42" applyNumberFormat="1" applyFont="1" applyFill="1" applyBorder="1" applyAlignment="1">
      <alignment vertical="center"/>
    </xf>
    <xf numFmtId="168" fontId="22" fillId="35" borderId="25" xfId="42" applyNumberFormat="1" applyFont="1" applyFill="1" applyBorder="1" applyAlignment="1">
      <alignment vertical="center"/>
    </xf>
    <xf numFmtId="168" fontId="22" fillId="35" borderId="0" xfId="42" applyNumberFormat="1" applyFont="1" applyFill="1" applyBorder="1" applyAlignment="1">
      <alignment vertical="center"/>
    </xf>
    <xf numFmtId="166" fontId="0" fillId="0" borderId="0" xfId="43" applyNumberFormat="1" applyFont="1"/>
    <xf numFmtId="0" fontId="28" fillId="33" borderId="0" xfId="0" applyFont="1" applyFill="1" applyAlignment="1">
      <alignment horizontal="left" vertical="center" indent="3"/>
    </xf>
    <xf numFmtId="0" fontId="26" fillId="40" borderId="0" xfId="0" applyFont="1" applyFill="1" applyAlignment="1">
      <alignment horizontal="left" vertical="center" indent="3"/>
    </xf>
    <xf numFmtId="0" fontId="24" fillId="33" borderId="0" xfId="0" applyFont="1" applyFill="1" applyAlignment="1">
      <alignment horizontal="left" vertical="center" indent="3"/>
    </xf>
    <xf numFmtId="0" fontId="28" fillId="40" borderId="0" xfId="0" applyFont="1" applyFill="1" applyAlignment="1">
      <alignment horizontal="left" vertical="center" indent="3"/>
    </xf>
    <xf numFmtId="0" fontId="26" fillId="33" borderId="0" xfId="0" applyFont="1" applyFill="1" applyAlignment="1">
      <alignment horizontal="left" vertical="center" indent="3"/>
    </xf>
    <xf numFmtId="0" fontId="24" fillId="40" borderId="10" xfId="0" applyFont="1" applyFill="1" applyBorder="1" applyAlignment="1">
      <alignment horizontal="left" vertical="center" indent="3"/>
    </xf>
    <xf numFmtId="168" fontId="22" fillId="37" borderId="0" xfId="42" applyNumberFormat="1" applyFont="1" applyFill="1" applyBorder="1" applyAlignment="1">
      <alignment vertical="center"/>
    </xf>
    <xf numFmtId="0" fontId="16" fillId="0" borderId="0" xfId="0" applyFont="1" applyAlignment="1">
      <alignment horizontal="center" vertical="center"/>
    </xf>
    <xf numFmtId="0" fontId="16" fillId="33" borderId="20" xfId="0" applyFont="1" applyFill="1" applyBorder="1" applyAlignment="1">
      <alignment horizontal="center" vertical="center"/>
    </xf>
    <xf numFmtId="0" fontId="16" fillId="33" borderId="22" xfId="0" applyFont="1" applyFill="1" applyBorder="1" applyAlignment="1">
      <alignment horizontal="center" vertical="center"/>
    </xf>
    <xf numFmtId="167" fontId="30" fillId="0" borderId="16" xfId="0" applyNumberFormat="1" applyFont="1" applyBorder="1" applyAlignment="1">
      <alignment horizontal="right" vertical="center"/>
    </xf>
    <xf numFmtId="167" fontId="31" fillId="0" borderId="0" xfId="0" applyNumberFormat="1" applyFont="1" applyAlignment="1">
      <alignment horizontal="right" vertical="center"/>
    </xf>
    <xf numFmtId="167" fontId="19" fillId="0" borderId="16" xfId="0" applyNumberFormat="1" applyFont="1" applyBorder="1" applyAlignment="1">
      <alignment horizontal="center" vertical="center"/>
    </xf>
    <xf numFmtId="167" fontId="18" fillId="0" borderId="0" xfId="0" applyNumberFormat="1" applyFont="1" applyAlignment="1">
      <alignment horizontal="center" vertical="center"/>
    </xf>
    <xf numFmtId="0" fontId="18" fillId="0" borderId="0" xfId="0" quotePrefix="1" applyFont="1" applyAlignment="1">
      <alignment horizontal="center" vertical="center"/>
    </xf>
    <xf numFmtId="0" fontId="32" fillId="0" borderId="0" xfId="0" quotePrefix="1" applyFont="1" applyAlignment="1">
      <alignment horizontal="left" vertical="center"/>
    </xf>
    <xf numFmtId="49" fontId="19" fillId="41" borderId="14" xfId="0" applyNumberFormat="1" applyFont="1" applyFill="1" applyBorder="1" applyAlignment="1">
      <alignment horizontal="left" vertical="center"/>
    </xf>
    <xf numFmtId="0" fontId="19" fillId="41" borderId="0" xfId="0" quotePrefix="1" applyFont="1" applyFill="1" applyAlignment="1">
      <alignment horizontal="left" vertical="center"/>
    </xf>
    <xf numFmtId="3" fontId="32" fillId="42" borderId="0" xfId="0" applyNumberFormat="1" applyFont="1" applyFill="1" applyAlignment="1">
      <alignment horizontal="right" vertical="center"/>
    </xf>
    <xf numFmtId="3" fontId="19" fillId="41" borderId="0" xfId="0" applyNumberFormat="1" applyFont="1" applyFill="1" applyAlignment="1">
      <alignment horizontal="right" vertical="center"/>
    </xf>
    <xf numFmtId="3" fontId="19" fillId="0" borderId="29" xfId="0" applyNumberFormat="1" applyFont="1" applyBorder="1" applyAlignment="1">
      <alignment horizontal="right" vertical="center"/>
    </xf>
    <xf numFmtId="167" fontId="0" fillId="33" borderId="21" xfId="0" applyNumberFormat="1" applyFill="1" applyBorder="1" applyAlignment="1">
      <alignment horizontal="center" vertical="center"/>
    </xf>
    <xf numFmtId="167" fontId="0" fillId="33" borderId="24" xfId="0" applyNumberFormat="1" applyFill="1" applyBorder="1" applyAlignment="1">
      <alignment horizontal="center" vertical="center"/>
    </xf>
    <xf numFmtId="17" fontId="0" fillId="33" borderId="19" xfId="0" applyNumberFormat="1" applyFill="1" applyBorder="1" applyAlignment="1">
      <alignment horizontal="center" vertical="center"/>
    </xf>
    <xf numFmtId="0" fontId="0" fillId="33" borderId="17" xfId="0" applyFill="1" applyBorder="1" applyAlignment="1">
      <alignment horizontal="center" vertical="center"/>
    </xf>
    <xf numFmtId="0" fontId="0" fillId="33" borderId="18" xfId="0" applyFill="1" applyBorder="1" applyAlignment="1">
      <alignment horizontal="center" vertical="center"/>
    </xf>
    <xf numFmtId="49" fontId="19" fillId="0" borderId="14" xfId="0" applyNumberFormat="1" applyFont="1" applyBorder="1" applyAlignment="1">
      <alignment horizontal="left" vertical="center"/>
    </xf>
    <xf numFmtId="49" fontId="19" fillId="0" borderId="30" xfId="0" applyNumberFormat="1" applyFont="1" applyBorder="1" applyAlignment="1">
      <alignment horizontal="left" vertical="center"/>
    </xf>
    <xf numFmtId="0" fontId="19" fillId="0" borderId="28" xfId="0" quotePrefix="1" applyFont="1" applyBorder="1" applyAlignment="1">
      <alignment horizontal="left" vertical="center"/>
    </xf>
    <xf numFmtId="0" fontId="20" fillId="33" borderId="0" xfId="0" applyFont="1" applyFill="1"/>
    <xf numFmtId="0" fontId="27" fillId="33" borderId="0" xfId="0" applyFont="1" applyFill="1"/>
    <xf numFmtId="0" fontId="35" fillId="33" borderId="0" xfId="0" applyFont="1" applyFill="1"/>
    <xf numFmtId="169" fontId="27" fillId="33" borderId="0" xfId="0" applyNumberFormat="1" applyFont="1" applyFill="1" applyAlignment="1">
      <alignment horizontal="center" vertical="center"/>
    </xf>
    <xf numFmtId="169" fontId="36" fillId="33" borderId="0" xfId="0" applyNumberFormat="1" applyFont="1" applyFill="1" applyAlignment="1">
      <alignment horizontal="center" vertical="center"/>
    </xf>
    <xf numFmtId="0" fontId="0" fillId="44" borderId="0" xfId="0" applyFill="1"/>
    <xf numFmtId="0" fontId="22" fillId="33" borderId="0" xfId="0" applyFont="1" applyFill="1" applyAlignment="1">
      <alignment horizontal="left" vertical="center"/>
    </xf>
    <xf numFmtId="0" fontId="28" fillId="33" borderId="0" xfId="0" applyFont="1" applyFill="1" applyAlignment="1">
      <alignment horizontal="left" vertical="center" indent="1"/>
    </xf>
    <xf numFmtId="0" fontId="28" fillId="33" borderId="10" xfId="0" applyFont="1" applyFill="1" applyBorder="1" applyAlignment="1">
      <alignment horizontal="left" vertical="center" indent="1"/>
    </xf>
    <xf numFmtId="0" fontId="20" fillId="33" borderId="10" xfId="0" applyFont="1" applyFill="1" applyBorder="1"/>
    <xf numFmtId="3" fontId="20" fillId="43" borderId="0" xfId="0" applyNumberFormat="1" applyFont="1" applyFill="1"/>
    <xf numFmtId="3" fontId="20" fillId="37" borderId="0" xfId="0" applyNumberFormat="1" applyFont="1" applyFill="1"/>
    <xf numFmtId="3" fontId="22" fillId="35" borderId="0" xfId="0" applyNumberFormat="1" applyFont="1" applyFill="1" applyAlignment="1">
      <alignment horizontal="left" vertical="center" indent="1"/>
    </xf>
    <xf numFmtId="3" fontId="20" fillId="35" borderId="0" xfId="0" applyNumberFormat="1" applyFont="1" applyFill="1"/>
    <xf numFmtId="3" fontId="20" fillId="37" borderId="10" xfId="0" applyNumberFormat="1" applyFont="1" applyFill="1" applyBorder="1"/>
    <xf numFmtId="3" fontId="22" fillId="35" borderId="10" xfId="0" applyNumberFormat="1" applyFont="1" applyFill="1" applyBorder="1" applyAlignment="1">
      <alignment horizontal="left" vertical="center" indent="1"/>
    </xf>
    <xf numFmtId="3" fontId="20" fillId="35" borderId="10" xfId="0" applyNumberFormat="1" applyFont="1" applyFill="1" applyBorder="1"/>
    <xf numFmtId="3" fontId="20" fillId="43" borderId="10" xfId="0" applyNumberFormat="1" applyFont="1" applyFill="1" applyBorder="1"/>
    <xf numFmtId="9" fontId="20" fillId="37" borderId="0" xfId="43" applyFont="1" applyFill="1"/>
    <xf numFmtId="9" fontId="20" fillId="37" borderId="0" xfId="0" applyNumberFormat="1" applyFont="1" applyFill="1"/>
    <xf numFmtId="9" fontId="22" fillId="35" borderId="0" xfId="0" applyNumberFormat="1" applyFont="1" applyFill="1" applyAlignment="1">
      <alignment horizontal="left" vertical="center" indent="1"/>
    </xf>
    <xf numFmtId="9" fontId="20" fillId="35" borderId="0" xfId="0" applyNumberFormat="1" applyFont="1" applyFill="1"/>
    <xf numFmtId="9" fontId="20" fillId="43" borderId="0" xfId="0" applyNumberFormat="1" applyFont="1" applyFill="1"/>
    <xf numFmtId="9" fontId="20" fillId="37" borderId="10" xfId="43" applyFont="1" applyFill="1" applyBorder="1"/>
    <xf numFmtId="9" fontId="20" fillId="37" borderId="10" xfId="0" applyNumberFormat="1" applyFont="1" applyFill="1" applyBorder="1"/>
    <xf numFmtId="9" fontId="22" fillId="35" borderId="10" xfId="0" applyNumberFormat="1" applyFont="1" applyFill="1" applyBorder="1" applyAlignment="1">
      <alignment horizontal="left" vertical="center" indent="1"/>
    </xf>
    <xf numFmtId="9" fontId="20" fillId="35" borderId="10" xfId="0" applyNumberFormat="1" applyFont="1" applyFill="1" applyBorder="1"/>
    <xf numFmtId="9" fontId="20" fillId="43" borderId="10" xfId="0" applyNumberFormat="1" applyFont="1" applyFill="1" applyBorder="1"/>
    <xf numFmtId="0" fontId="35" fillId="33" borderId="0" xfId="0" applyFont="1" applyFill="1" applyAlignment="1">
      <alignment horizontal="center"/>
    </xf>
    <xf numFmtId="3" fontId="22" fillId="37" borderId="0" xfId="0" applyNumberFormat="1" applyFont="1" applyFill="1" applyAlignment="1">
      <alignment horizontal="center"/>
    </xf>
    <xf numFmtId="0" fontId="37" fillId="33" borderId="0" xfId="0" applyFont="1" applyFill="1"/>
    <xf numFmtId="0" fontId="38" fillId="33" borderId="0" xfId="0" applyFont="1" applyFill="1" applyAlignment="1">
      <alignment horizontal="center"/>
    </xf>
    <xf numFmtId="0" fontId="28" fillId="33" borderId="10" xfId="0" applyFont="1" applyFill="1" applyBorder="1" applyAlignment="1">
      <alignment horizontal="center" vertical="center"/>
    </xf>
    <xf numFmtId="3" fontId="22" fillId="37" borderId="10" xfId="0" applyNumberFormat="1" applyFont="1" applyFill="1" applyBorder="1"/>
    <xf numFmtId="0" fontId="39" fillId="33" borderId="0" xfId="0" applyFont="1" applyFill="1"/>
    <xf numFmtId="3" fontId="20" fillId="33" borderId="0" xfId="0" applyNumberFormat="1" applyFont="1" applyFill="1"/>
    <xf numFmtId="0" fontId="0" fillId="45" borderId="0" xfId="0" applyFill="1"/>
    <xf numFmtId="170" fontId="31" fillId="0" borderId="0" xfId="43" applyNumberFormat="1" applyFont="1" applyFill="1" applyBorder="1" applyAlignment="1">
      <alignment horizontal="right" vertical="center"/>
    </xf>
    <xf numFmtId="0" fontId="0" fillId="0" borderId="18" xfId="0" applyBorder="1"/>
    <xf numFmtId="3" fontId="0" fillId="0" borderId="0" xfId="0" applyNumberFormat="1"/>
    <xf numFmtId="3" fontId="0" fillId="0" borderId="21" xfId="0" applyNumberFormat="1" applyBorder="1"/>
    <xf numFmtId="0" fontId="0" fillId="0" borderId="23" xfId="0" applyBorder="1"/>
    <xf numFmtId="3" fontId="0" fillId="0" borderId="23" xfId="0" applyNumberFormat="1" applyBorder="1"/>
    <xf numFmtId="3" fontId="0" fillId="0" borderId="24" xfId="0" applyNumberFormat="1" applyBorder="1"/>
    <xf numFmtId="3" fontId="0" fillId="0" borderId="18" xfId="0" applyNumberFormat="1" applyBorder="1"/>
    <xf numFmtId="3" fontId="0" fillId="0" borderId="19" xfId="0" applyNumberFormat="1" applyBorder="1"/>
    <xf numFmtId="0" fontId="0" fillId="0" borderId="10" xfId="0" applyBorder="1"/>
    <xf numFmtId="3" fontId="0" fillId="0" borderId="10" xfId="0" applyNumberFormat="1" applyBorder="1"/>
    <xf numFmtId="3" fontId="0" fillId="0" borderId="32" xfId="0" applyNumberFormat="1" applyBorder="1"/>
    <xf numFmtId="0" fontId="0" fillId="0" borderId="33" xfId="0" applyBorder="1"/>
    <xf numFmtId="0" fontId="0" fillId="0" borderId="34" xfId="0" applyBorder="1"/>
    <xf numFmtId="17" fontId="0" fillId="0" borderId="34" xfId="0" applyNumberFormat="1" applyBorder="1"/>
    <xf numFmtId="17" fontId="0" fillId="0" borderId="31" xfId="0" applyNumberFormat="1" applyBorder="1"/>
    <xf numFmtId="9" fontId="20" fillId="33" borderId="0" xfId="43" applyFont="1" applyFill="1"/>
    <xf numFmtId="0" fontId="40" fillId="0" borderId="11" xfId="0" applyFont="1" applyBorder="1" applyAlignment="1">
      <alignment horizontal="right" vertical="center" wrapText="1"/>
    </xf>
    <xf numFmtId="0" fontId="20" fillId="33" borderId="11" xfId="0" applyFont="1" applyFill="1" applyBorder="1"/>
    <xf numFmtId="0" fontId="21" fillId="33" borderId="11" xfId="0" applyFont="1" applyFill="1" applyBorder="1" applyAlignment="1">
      <alignment horizontal="center" vertical="center"/>
    </xf>
    <xf numFmtId="0" fontId="28" fillId="33" borderId="11" xfId="0" applyFont="1" applyFill="1" applyBorder="1" applyAlignment="1">
      <alignment horizontal="center" vertical="center"/>
    </xf>
    <xf numFmtId="3" fontId="22" fillId="35" borderId="0" xfId="0" applyNumberFormat="1" applyFont="1" applyFill="1" applyAlignment="1">
      <alignment horizontal="right" vertical="center"/>
    </xf>
    <xf numFmtId="3" fontId="20" fillId="35" borderId="0" xfId="0" applyNumberFormat="1" applyFont="1" applyFill="1" applyAlignment="1">
      <alignment horizontal="right"/>
    </xf>
    <xf numFmtId="3" fontId="20" fillId="43" borderId="0" xfId="0" applyNumberFormat="1" applyFont="1" applyFill="1" applyAlignment="1">
      <alignment horizontal="right"/>
    </xf>
    <xf numFmtId="3" fontId="22" fillId="35" borderId="10" xfId="0" applyNumberFormat="1" applyFont="1" applyFill="1" applyBorder="1" applyAlignment="1">
      <alignment horizontal="right" vertical="center"/>
    </xf>
    <xf numFmtId="3" fontId="20" fillId="35" borderId="10" xfId="0" applyNumberFormat="1" applyFont="1" applyFill="1" applyBorder="1" applyAlignment="1">
      <alignment horizontal="right"/>
    </xf>
    <xf numFmtId="3" fontId="20" fillId="43" borderId="10" xfId="0" applyNumberFormat="1" applyFont="1" applyFill="1" applyBorder="1" applyAlignment="1">
      <alignment horizontal="right"/>
    </xf>
    <xf numFmtId="4" fontId="20" fillId="33" borderId="0" xfId="0" applyNumberFormat="1" applyFont="1" applyFill="1"/>
    <xf numFmtId="172" fontId="20" fillId="33" borderId="0" xfId="0" applyNumberFormat="1" applyFont="1" applyFill="1"/>
    <xf numFmtId="3" fontId="20" fillId="37" borderId="0" xfId="0" applyNumberFormat="1" applyFont="1" applyFill="1" applyAlignment="1">
      <alignment horizontal="right"/>
    </xf>
    <xf numFmtId="3" fontId="22" fillId="37" borderId="0" xfId="0" applyNumberFormat="1" applyFont="1" applyFill="1" applyAlignment="1">
      <alignment horizontal="right"/>
    </xf>
    <xf numFmtId="3" fontId="20" fillId="37" borderId="10" xfId="0" applyNumberFormat="1" applyFont="1" applyFill="1" applyBorder="1" applyAlignment="1">
      <alignment horizontal="right"/>
    </xf>
    <xf numFmtId="3" fontId="22" fillId="37" borderId="10" xfId="0" applyNumberFormat="1" applyFont="1" applyFill="1" applyBorder="1" applyAlignment="1">
      <alignment horizontal="right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167" fontId="0" fillId="34" borderId="0" xfId="0" applyNumberFormat="1" applyFill="1"/>
    <xf numFmtId="167" fontId="0" fillId="34" borderId="23" xfId="0" applyNumberFormat="1" applyFill="1" applyBorder="1"/>
    <xf numFmtId="167" fontId="18" fillId="39" borderId="0" xfId="0" applyNumberFormat="1" applyFont="1" applyFill="1" applyAlignment="1">
      <alignment horizontal="right" vertical="center"/>
    </xf>
    <xf numFmtId="17" fontId="0" fillId="39" borderId="0" xfId="0" applyNumberFormat="1" applyFill="1"/>
    <xf numFmtId="0" fontId="0" fillId="39" borderId="0" xfId="0" applyFill="1"/>
    <xf numFmtId="167" fontId="0" fillId="38" borderId="0" xfId="0" applyNumberFormat="1" applyFill="1"/>
    <xf numFmtId="9" fontId="0" fillId="38" borderId="0" xfId="43" applyFont="1" applyFill="1" applyBorder="1"/>
    <xf numFmtId="167" fontId="0" fillId="38" borderId="21" xfId="0" applyNumberFormat="1" applyFill="1" applyBorder="1"/>
    <xf numFmtId="167" fontId="0" fillId="38" borderId="23" xfId="0" applyNumberFormat="1" applyFill="1" applyBorder="1"/>
    <xf numFmtId="167" fontId="0" fillId="38" borderId="24" xfId="0" applyNumberFormat="1" applyFill="1" applyBorder="1"/>
    <xf numFmtId="0" fontId="19" fillId="0" borderId="16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167" fontId="0" fillId="34" borderId="21" xfId="0" applyNumberFormat="1" applyFill="1" applyBorder="1"/>
    <xf numFmtId="167" fontId="0" fillId="34" borderId="24" xfId="0" applyNumberFormat="1" applyFill="1" applyBorder="1"/>
    <xf numFmtId="0" fontId="0" fillId="0" borderId="20" xfId="0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9" fontId="0" fillId="38" borderId="0" xfId="0" applyNumberFormat="1" applyFill="1"/>
    <xf numFmtId="9" fontId="0" fillId="38" borderId="23" xfId="43" applyFont="1" applyFill="1" applyBorder="1"/>
    <xf numFmtId="0" fontId="26" fillId="33" borderId="10" xfId="0" applyFont="1" applyFill="1" applyBorder="1" applyAlignment="1">
      <alignment horizontal="left" vertical="center"/>
    </xf>
    <xf numFmtId="0" fontId="26" fillId="33" borderId="0" xfId="0" applyFont="1" applyFill="1" applyAlignment="1">
      <alignment horizontal="left" vertical="center" indent="1"/>
    </xf>
    <xf numFmtId="0" fontId="26" fillId="33" borderId="0" xfId="0" applyFont="1" applyFill="1" applyAlignment="1">
      <alignment horizontal="left" vertical="center" indent="2"/>
    </xf>
    <xf numFmtId="0" fontId="26" fillId="33" borderId="10" xfId="0" applyFont="1" applyFill="1" applyBorder="1" applyAlignment="1">
      <alignment horizontal="left" vertical="center" indent="1"/>
    </xf>
    <xf numFmtId="0" fontId="26" fillId="33" borderId="10" xfId="0" applyFont="1" applyFill="1" applyBorder="1" applyAlignment="1">
      <alignment horizontal="left" vertical="center" indent="2"/>
    </xf>
    <xf numFmtId="0" fontId="41" fillId="46" borderId="0" xfId="0" applyFont="1" applyFill="1" applyAlignment="1">
      <alignment horizontal="left"/>
    </xf>
    <xf numFmtId="171" fontId="42" fillId="46" borderId="0" xfId="0" applyNumberFormat="1" applyFont="1" applyFill="1"/>
    <xf numFmtId="171" fontId="43" fillId="46" borderId="0" xfId="0" applyNumberFormat="1" applyFont="1" applyFill="1" applyAlignment="1">
      <alignment horizontal="center"/>
    </xf>
    <xf numFmtId="171" fontId="44" fillId="46" borderId="0" xfId="0" applyNumberFormat="1" applyFont="1" applyFill="1"/>
    <xf numFmtId="0" fontId="42" fillId="46" borderId="0" xfId="0" applyFont="1" applyFill="1"/>
    <xf numFmtId="0" fontId="0" fillId="46" borderId="0" xfId="0" applyFill="1"/>
    <xf numFmtId="0" fontId="45" fillId="46" borderId="0" xfId="0" applyFont="1" applyFill="1" applyAlignment="1">
      <alignment horizontal="left"/>
    </xf>
    <xf numFmtId="171" fontId="0" fillId="46" borderId="0" xfId="0" applyNumberFormat="1" applyFill="1"/>
    <xf numFmtId="171" fontId="45" fillId="46" borderId="0" xfId="0" applyNumberFormat="1" applyFont="1" applyFill="1" applyAlignment="1">
      <alignment horizontal="left"/>
    </xf>
    <xf numFmtId="171" fontId="46" fillId="46" borderId="0" xfId="0" applyNumberFormat="1" applyFont="1" applyFill="1" applyAlignment="1">
      <alignment horizontal="right" vertical="center"/>
    </xf>
    <xf numFmtId="171" fontId="47" fillId="46" borderId="0" xfId="0" applyNumberFormat="1" applyFont="1" applyFill="1" applyAlignment="1">
      <alignment horizontal="right" vertical="center"/>
    </xf>
    <xf numFmtId="0" fontId="48" fillId="46" borderId="0" xfId="0" applyFont="1" applyFill="1"/>
    <xf numFmtId="171" fontId="45" fillId="46" borderId="39" xfId="0" applyNumberFormat="1" applyFont="1" applyFill="1" applyBorder="1" applyAlignment="1">
      <alignment horizontal="right"/>
    </xf>
    <xf numFmtId="0" fontId="41" fillId="47" borderId="40" xfId="0" applyFont="1" applyFill="1" applyBorder="1" applyAlignment="1">
      <alignment horizontal="center" vertical="center"/>
    </xf>
    <xf numFmtId="0" fontId="41" fillId="47" borderId="42" xfId="0" applyFont="1" applyFill="1" applyBorder="1" applyAlignment="1">
      <alignment horizontal="center" vertical="center"/>
    </xf>
    <xf numFmtId="171" fontId="41" fillId="47" borderId="43" xfId="0" applyNumberFormat="1" applyFont="1" applyFill="1" applyBorder="1" applyAlignment="1">
      <alignment horizontal="center" vertical="center"/>
    </xf>
    <xf numFmtId="171" fontId="41" fillId="47" borderId="39" xfId="0" applyNumberFormat="1" applyFont="1" applyFill="1" applyBorder="1" applyAlignment="1">
      <alignment horizontal="center" vertical="center"/>
    </xf>
    <xf numFmtId="171" fontId="49" fillId="47" borderId="39" xfId="0" applyNumberFormat="1" applyFont="1" applyFill="1" applyBorder="1" applyAlignment="1">
      <alignment horizontal="center" vertical="center"/>
    </xf>
    <xf numFmtId="0" fontId="41" fillId="47" borderId="44" xfId="0" applyFont="1" applyFill="1" applyBorder="1" applyAlignment="1">
      <alignment horizontal="center" vertical="center"/>
    </xf>
    <xf numFmtId="1" fontId="41" fillId="47" borderId="45" xfId="0" applyNumberFormat="1" applyFont="1" applyFill="1" applyBorder="1" applyAlignment="1">
      <alignment horizontal="right" vertical="center"/>
    </xf>
    <xf numFmtId="1" fontId="41" fillId="47" borderId="46" xfId="0" applyNumberFormat="1" applyFont="1" applyFill="1" applyBorder="1" applyAlignment="1">
      <alignment horizontal="right" vertical="center"/>
    </xf>
    <xf numFmtId="1" fontId="41" fillId="47" borderId="47" xfId="0" applyNumberFormat="1" applyFont="1" applyFill="1" applyBorder="1" applyAlignment="1">
      <alignment horizontal="right" vertical="center"/>
    </xf>
    <xf numFmtId="1" fontId="41" fillId="47" borderId="48" xfId="0" applyNumberFormat="1" applyFont="1" applyFill="1" applyBorder="1" applyAlignment="1">
      <alignment horizontal="right" vertical="center"/>
    </xf>
    <xf numFmtId="171" fontId="41" fillId="47" borderId="48" xfId="0" applyNumberFormat="1" applyFont="1" applyFill="1" applyBorder="1" applyAlignment="1">
      <alignment horizontal="right" vertical="center"/>
    </xf>
    <xf numFmtId="0" fontId="50" fillId="46" borderId="0" xfId="0" applyFont="1" applyFill="1" applyAlignment="1">
      <alignment vertical="center"/>
    </xf>
    <xf numFmtId="0" fontId="49" fillId="46" borderId="49" xfId="0" applyFont="1" applyFill="1" applyBorder="1"/>
    <xf numFmtId="171" fontId="49" fillId="46" borderId="41" xfId="0" applyNumberFormat="1" applyFont="1" applyFill="1" applyBorder="1" applyAlignment="1">
      <alignment horizontal="right"/>
    </xf>
    <xf numFmtId="171" fontId="49" fillId="46" borderId="49" xfId="0" applyNumberFormat="1" applyFont="1" applyFill="1" applyBorder="1" applyAlignment="1">
      <alignment horizontal="right"/>
    </xf>
    <xf numFmtId="171" fontId="41" fillId="46" borderId="49" xfId="0" applyNumberFormat="1" applyFont="1" applyFill="1" applyBorder="1" applyAlignment="1">
      <alignment horizontal="right"/>
    </xf>
    <xf numFmtId="171" fontId="41" fillId="46" borderId="41" xfId="0" applyNumberFormat="1" applyFont="1" applyFill="1" applyBorder="1" applyAlignment="1">
      <alignment horizontal="right"/>
    </xf>
    <xf numFmtId="0" fontId="50" fillId="46" borderId="0" xfId="0" applyFont="1" applyFill="1"/>
    <xf numFmtId="0" fontId="51" fillId="46" borderId="0" xfId="0" applyFont="1" applyFill="1"/>
    <xf numFmtId="171" fontId="52" fillId="46" borderId="50" xfId="0" applyNumberFormat="1" applyFont="1" applyFill="1" applyBorder="1" applyAlignment="1">
      <alignment horizontal="right"/>
    </xf>
    <xf numFmtId="171" fontId="52" fillId="46" borderId="0" xfId="0" applyNumberFormat="1" applyFont="1" applyFill="1" applyAlignment="1">
      <alignment horizontal="right"/>
    </xf>
    <xf numFmtId="0" fontId="51" fillId="46" borderId="39" xfId="0" applyFont="1" applyFill="1" applyBorder="1"/>
    <xf numFmtId="171" fontId="52" fillId="46" borderId="43" xfId="0" applyNumberFormat="1" applyFont="1" applyFill="1" applyBorder="1" applyAlignment="1">
      <alignment horizontal="right"/>
    </xf>
    <xf numFmtId="171" fontId="52" fillId="46" borderId="39" xfId="0" applyNumberFormat="1" applyFont="1" applyFill="1" applyBorder="1" applyAlignment="1">
      <alignment horizontal="right"/>
    </xf>
    <xf numFmtId="0" fontId="49" fillId="46" borderId="0" xfId="0" applyFont="1" applyFill="1"/>
    <xf numFmtId="171" fontId="41" fillId="46" borderId="50" xfId="0" applyNumberFormat="1" applyFont="1" applyFill="1" applyBorder="1" applyAlignment="1">
      <alignment horizontal="right"/>
    </xf>
    <xf numFmtId="171" fontId="41" fillId="46" borderId="0" xfId="0" applyNumberFormat="1" applyFont="1" applyFill="1" applyAlignment="1">
      <alignment horizontal="right"/>
    </xf>
    <xf numFmtId="171" fontId="52" fillId="46" borderId="0" xfId="0" applyNumberFormat="1" applyFont="1" applyFill="1"/>
    <xf numFmtId="171" fontId="52" fillId="46" borderId="50" xfId="0" applyNumberFormat="1" applyFont="1" applyFill="1" applyBorder="1"/>
    <xf numFmtId="171" fontId="41" fillId="46" borderId="0" xfId="0" applyNumberFormat="1" applyFont="1" applyFill="1"/>
    <xf numFmtId="171" fontId="41" fillId="46" borderId="50" xfId="0" applyNumberFormat="1" applyFont="1" applyFill="1" applyBorder="1"/>
    <xf numFmtId="0" fontId="49" fillId="46" borderId="39" xfId="0" applyFont="1" applyFill="1" applyBorder="1"/>
    <xf numFmtId="171" fontId="41" fillId="46" borderId="43" xfId="0" applyNumberFormat="1" applyFont="1" applyFill="1" applyBorder="1" applyAlignment="1">
      <alignment horizontal="right"/>
    </xf>
    <xf numFmtId="171" fontId="41" fillId="46" borderId="39" xfId="0" applyNumberFormat="1" applyFont="1" applyFill="1" applyBorder="1" applyAlignment="1">
      <alignment horizontal="right"/>
    </xf>
    <xf numFmtId="171" fontId="41" fillId="46" borderId="39" xfId="0" applyNumberFormat="1" applyFont="1" applyFill="1" applyBorder="1"/>
    <xf numFmtId="171" fontId="41" fillId="46" borderId="43" xfId="0" applyNumberFormat="1" applyFont="1" applyFill="1" applyBorder="1"/>
    <xf numFmtId="171" fontId="52" fillId="46" borderId="39" xfId="0" applyNumberFormat="1" applyFont="1" applyFill="1" applyBorder="1"/>
    <xf numFmtId="171" fontId="52" fillId="46" borderId="43" xfId="0" applyNumberFormat="1" applyFont="1" applyFill="1" applyBorder="1"/>
    <xf numFmtId="0" fontId="54" fillId="46" borderId="0" xfId="0" applyFont="1" applyFill="1"/>
    <xf numFmtId="171" fontId="55" fillId="46" borderId="0" xfId="0" applyNumberFormat="1" applyFont="1" applyFill="1" applyAlignment="1">
      <alignment horizontal="right"/>
    </xf>
    <xf numFmtId="0" fontId="49" fillId="46" borderId="39" xfId="0" applyFont="1" applyFill="1" applyBorder="1" applyAlignment="1">
      <alignment horizontal="left"/>
    </xf>
    <xf numFmtId="171" fontId="51" fillId="46" borderId="43" xfId="0" applyNumberFormat="1" applyFont="1" applyFill="1" applyBorder="1" applyAlignment="1">
      <alignment horizontal="right"/>
    </xf>
    <xf numFmtId="171" fontId="51" fillId="46" borderId="39" xfId="0" applyNumberFormat="1" applyFont="1" applyFill="1" applyBorder="1" applyAlignment="1">
      <alignment horizontal="right"/>
    </xf>
    <xf numFmtId="0" fontId="49" fillId="46" borderId="39" xfId="0" applyFont="1" applyFill="1" applyBorder="1" applyAlignment="1">
      <alignment vertical="center"/>
    </xf>
    <xf numFmtId="171" fontId="49" fillId="46" borderId="43" xfId="0" applyNumberFormat="1" applyFont="1" applyFill="1" applyBorder="1" applyAlignment="1">
      <alignment horizontal="center"/>
    </xf>
    <xf numFmtId="171" fontId="49" fillId="46" borderId="39" xfId="0" applyNumberFormat="1" applyFont="1" applyFill="1" applyBorder="1" applyAlignment="1">
      <alignment horizontal="center"/>
    </xf>
    <xf numFmtId="171" fontId="49" fillId="46" borderId="39" xfId="0" applyNumberFormat="1" applyFont="1" applyFill="1" applyBorder="1" applyAlignment="1">
      <alignment horizontal="right"/>
    </xf>
    <xf numFmtId="171" fontId="49" fillId="46" borderId="0" xfId="0" applyNumberFormat="1" applyFont="1" applyFill="1" applyAlignment="1">
      <alignment horizontal="right"/>
    </xf>
    <xf numFmtId="0" fontId="49" fillId="47" borderId="49" xfId="0" applyFont="1" applyFill="1" applyBorder="1" applyAlignment="1">
      <alignment horizontal="center"/>
    </xf>
    <xf numFmtId="171" fontId="41" fillId="47" borderId="48" xfId="0" applyNumberFormat="1" applyFont="1" applyFill="1" applyBorder="1" applyAlignment="1">
      <alignment horizontal="right"/>
    </xf>
    <xf numFmtId="171" fontId="41" fillId="47" borderId="47" xfId="0" applyNumberFormat="1" applyFont="1" applyFill="1" applyBorder="1" applyAlignment="1">
      <alignment horizontal="right"/>
    </xf>
    <xf numFmtId="0" fontId="51" fillId="46" borderId="49" xfId="0" applyFont="1" applyFill="1" applyBorder="1"/>
    <xf numFmtId="0" fontId="49" fillId="47" borderId="47" xfId="0" applyFont="1" applyFill="1" applyBorder="1" applyAlignment="1">
      <alignment horizontal="center"/>
    </xf>
    <xf numFmtId="0" fontId="57" fillId="46" borderId="0" xfId="0" applyFont="1" applyFill="1"/>
    <xf numFmtId="171" fontId="58" fillId="46" borderId="0" xfId="0" applyNumberFormat="1" applyFont="1" applyFill="1"/>
    <xf numFmtId="0" fontId="0" fillId="46" borderId="0" xfId="0" applyFill="1" applyAlignment="1">
      <alignment horizontal="center"/>
    </xf>
    <xf numFmtId="0" fontId="59" fillId="46" borderId="0" xfId="0" applyFont="1" applyFill="1" applyAlignment="1">
      <alignment horizontal="center"/>
    </xf>
    <xf numFmtId="0" fontId="49" fillId="46" borderId="0" xfId="0" applyFont="1" applyFill="1" applyAlignment="1">
      <alignment horizontal="left"/>
    </xf>
    <xf numFmtId="171" fontId="45" fillId="46" borderId="0" xfId="0" applyNumberFormat="1" applyFont="1" applyFill="1" applyAlignment="1">
      <alignment horizontal="right"/>
    </xf>
    <xf numFmtId="0" fontId="45" fillId="47" borderId="40" xfId="0" applyFont="1" applyFill="1" applyBorder="1" applyAlignment="1">
      <alignment horizontal="center" vertical="center"/>
    </xf>
    <xf numFmtId="0" fontId="45" fillId="47" borderId="42" xfId="0" applyFont="1" applyFill="1" applyBorder="1" applyAlignment="1">
      <alignment horizontal="center" vertical="center"/>
    </xf>
    <xf numFmtId="0" fontId="41" fillId="47" borderId="39" xfId="0" applyFont="1" applyFill="1" applyBorder="1" applyAlignment="1">
      <alignment horizontal="center" vertical="center"/>
    </xf>
    <xf numFmtId="0" fontId="41" fillId="47" borderId="0" xfId="0" applyFont="1" applyFill="1" applyAlignment="1">
      <alignment horizontal="center" vertical="center"/>
    </xf>
    <xf numFmtId="0" fontId="45" fillId="47" borderId="44" xfId="0" applyFont="1" applyFill="1" applyBorder="1" applyAlignment="1">
      <alignment horizontal="center" vertical="center"/>
    </xf>
    <xf numFmtId="0" fontId="41" fillId="47" borderId="45" xfId="0" applyFont="1" applyFill="1" applyBorder="1" applyAlignment="1">
      <alignment horizontal="right" vertical="center"/>
    </xf>
    <xf numFmtId="0" fontId="41" fillId="47" borderId="47" xfId="0" applyFont="1" applyFill="1" applyBorder="1" applyAlignment="1">
      <alignment horizontal="right" vertical="center"/>
    </xf>
    <xf numFmtId="0" fontId="41" fillId="47" borderId="48" xfId="0" applyFont="1" applyFill="1" applyBorder="1" applyAlignment="1">
      <alignment horizontal="right" vertical="center"/>
    </xf>
    <xf numFmtId="171" fontId="41" fillId="46" borderId="41" xfId="0" applyNumberFormat="1" applyFont="1" applyFill="1" applyBorder="1" applyAlignment="1">
      <alignment horizontal="right" vertical="center"/>
    </xf>
    <xf numFmtId="171" fontId="41" fillId="46" borderId="49" xfId="0" applyNumberFormat="1" applyFont="1" applyFill="1" applyBorder="1" applyAlignment="1">
      <alignment horizontal="right" vertical="center"/>
    </xf>
    <xf numFmtId="171" fontId="52" fillId="46" borderId="50" xfId="0" applyNumberFormat="1" applyFont="1" applyFill="1" applyBorder="1" applyAlignment="1">
      <alignment horizontal="right" vertical="center"/>
    </xf>
    <xf numFmtId="171" fontId="52" fillId="46" borderId="0" xfId="0" applyNumberFormat="1" applyFont="1" applyFill="1" applyAlignment="1">
      <alignment horizontal="right" vertical="center"/>
    </xf>
    <xf numFmtId="171" fontId="52" fillId="46" borderId="43" xfId="0" applyNumberFormat="1" applyFont="1" applyFill="1" applyBorder="1" applyAlignment="1">
      <alignment horizontal="right" vertical="center"/>
    </xf>
    <xf numFmtId="171" fontId="52" fillId="46" borderId="39" xfId="0" applyNumberFormat="1" applyFont="1" applyFill="1" applyBorder="1" applyAlignment="1">
      <alignment horizontal="right" vertical="center"/>
    </xf>
    <xf numFmtId="171" fontId="41" fillId="46" borderId="50" xfId="0" applyNumberFormat="1" applyFont="1" applyFill="1" applyBorder="1" applyAlignment="1">
      <alignment horizontal="right" vertical="center"/>
    </xf>
    <xf numFmtId="171" fontId="41" fillId="46" borderId="0" xfId="0" applyNumberFormat="1" applyFont="1" applyFill="1" applyAlignment="1">
      <alignment horizontal="right" vertical="center"/>
    </xf>
    <xf numFmtId="171" fontId="41" fillId="46" borderId="43" xfId="0" applyNumberFormat="1" applyFont="1" applyFill="1" applyBorder="1" applyAlignment="1">
      <alignment horizontal="right" vertical="center"/>
    </xf>
    <xf numFmtId="171" fontId="41" fillId="46" borderId="39" xfId="0" applyNumberFormat="1" applyFont="1" applyFill="1" applyBorder="1" applyAlignment="1">
      <alignment horizontal="right" vertical="center"/>
    </xf>
    <xf numFmtId="171" fontId="41" fillId="46" borderId="40" xfId="0" applyNumberFormat="1" applyFont="1" applyFill="1" applyBorder="1" applyAlignment="1">
      <alignment horizontal="right" vertical="center"/>
    </xf>
    <xf numFmtId="171" fontId="60" fillId="46" borderId="0" xfId="0" applyNumberFormat="1" applyFont="1" applyFill="1" applyAlignment="1">
      <alignment horizontal="right" vertical="center"/>
    </xf>
    <xf numFmtId="171" fontId="52" fillId="46" borderId="42" xfId="0" applyNumberFormat="1" applyFont="1" applyFill="1" applyBorder="1" applyAlignment="1">
      <alignment horizontal="right" vertical="center"/>
    </xf>
    <xf numFmtId="171" fontId="55" fillId="46" borderId="0" xfId="0" applyNumberFormat="1" applyFont="1" applyFill="1" applyAlignment="1">
      <alignment horizontal="right" vertical="center"/>
    </xf>
    <xf numFmtId="171" fontId="52" fillId="46" borderId="51" xfId="0" applyNumberFormat="1" applyFont="1" applyFill="1" applyBorder="1" applyAlignment="1">
      <alignment horizontal="right" vertical="center"/>
    </xf>
    <xf numFmtId="171" fontId="52" fillId="46" borderId="10" xfId="0" applyNumberFormat="1" applyFont="1" applyFill="1" applyBorder="1" applyAlignment="1">
      <alignment horizontal="right" vertical="center"/>
    </xf>
    <xf numFmtId="171" fontId="52" fillId="46" borderId="52" xfId="0" applyNumberFormat="1" applyFont="1" applyFill="1" applyBorder="1" applyAlignment="1">
      <alignment horizontal="right" vertical="center"/>
    </xf>
    <xf numFmtId="0" fontId="49" fillId="46" borderId="0" xfId="0" applyFont="1" applyFill="1" applyAlignment="1">
      <alignment horizontal="left" vertical="center"/>
    </xf>
    <xf numFmtId="171" fontId="41" fillId="46" borderId="48" xfId="0" applyNumberFormat="1" applyFont="1" applyFill="1" applyBorder="1" applyAlignment="1">
      <alignment horizontal="right" vertical="center"/>
    </xf>
    <xf numFmtId="171" fontId="41" fillId="46" borderId="47" xfId="0" applyNumberFormat="1" applyFont="1" applyFill="1" applyBorder="1" applyAlignment="1">
      <alignment horizontal="right" vertical="center"/>
    </xf>
    <xf numFmtId="0" fontId="49" fillId="46" borderId="47" xfId="0" applyFont="1" applyFill="1" applyBorder="1" applyAlignment="1">
      <alignment vertical="center"/>
    </xf>
    <xf numFmtId="171" fontId="52" fillId="46" borderId="48" xfId="0" applyNumberFormat="1" applyFont="1" applyFill="1" applyBorder="1" applyAlignment="1">
      <alignment horizontal="right" vertical="center"/>
    </xf>
    <xf numFmtId="0" fontId="41" fillId="47" borderId="45" xfId="0" applyFont="1" applyFill="1" applyBorder="1" applyAlignment="1">
      <alignment horizontal="center"/>
    </xf>
    <xf numFmtId="171" fontId="41" fillId="47" borderId="46" xfId="0" applyNumberFormat="1" applyFont="1" applyFill="1" applyBorder="1" applyAlignment="1">
      <alignment horizontal="right" vertical="center"/>
    </xf>
    <xf numFmtId="171" fontId="41" fillId="47" borderId="45" xfId="0" applyNumberFormat="1" applyFont="1" applyFill="1" applyBorder="1" applyAlignment="1">
      <alignment horizontal="right" vertical="center"/>
    </xf>
    <xf numFmtId="171" fontId="41" fillId="47" borderId="47" xfId="0" applyNumberFormat="1" applyFont="1" applyFill="1" applyBorder="1" applyAlignment="1">
      <alignment horizontal="right" vertical="center"/>
    </xf>
    <xf numFmtId="0" fontId="52" fillId="46" borderId="49" xfId="0" applyFont="1" applyFill="1" applyBorder="1"/>
    <xf numFmtId="0" fontId="52" fillId="46" borderId="0" xfId="0" applyFont="1" applyFill="1"/>
    <xf numFmtId="0" fontId="52" fillId="46" borderId="39" xfId="0" applyFont="1" applyFill="1" applyBorder="1"/>
    <xf numFmtId="0" fontId="41" fillId="47" borderId="47" xfId="0" applyFont="1" applyFill="1" applyBorder="1" applyAlignment="1">
      <alignment horizontal="center"/>
    </xf>
    <xf numFmtId="0" fontId="61" fillId="36" borderId="0" xfId="0" applyFont="1" applyFill="1" applyAlignment="1">
      <alignment vertical="center" wrapText="1"/>
    </xf>
    <xf numFmtId="0" fontId="0" fillId="38" borderId="0" xfId="0" applyFill="1"/>
    <xf numFmtId="0" fontId="62" fillId="38" borderId="0" xfId="0" applyFont="1" applyFill="1" applyAlignment="1">
      <alignment vertical="center"/>
    </xf>
    <xf numFmtId="0" fontId="62" fillId="36" borderId="0" xfId="0" applyFont="1" applyFill="1" applyAlignment="1">
      <alignment vertical="center"/>
    </xf>
    <xf numFmtId="0" fontId="0" fillId="36" borderId="0" xfId="0" applyFill="1"/>
    <xf numFmtId="0" fontId="0" fillId="36" borderId="53" xfId="0" applyFill="1" applyBorder="1"/>
    <xf numFmtId="0" fontId="0" fillId="38" borderId="53" xfId="0" applyFill="1" applyBorder="1"/>
    <xf numFmtId="0" fontId="64" fillId="38" borderId="54" xfId="0" applyFont="1" applyFill="1" applyBorder="1" applyAlignment="1">
      <alignment horizontal="center" vertical="center" wrapText="1"/>
    </xf>
    <xf numFmtId="0" fontId="64" fillId="36" borderId="54" xfId="0" applyFont="1" applyFill="1" applyBorder="1" applyAlignment="1">
      <alignment horizontal="center" vertical="center" wrapText="1"/>
    </xf>
    <xf numFmtId="0" fontId="64" fillId="38" borderId="0" xfId="0" applyFont="1" applyFill="1" applyAlignment="1">
      <alignment vertical="center" wrapText="1"/>
    </xf>
    <xf numFmtId="0" fontId="64" fillId="36" borderId="0" xfId="0" applyFont="1" applyFill="1" applyAlignment="1">
      <alignment vertical="center" wrapText="1"/>
    </xf>
    <xf numFmtId="0" fontId="61" fillId="38" borderId="0" xfId="0" applyFont="1" applyFill="1" applyAlignment="1">
      <alignment vertical="center" wrapText="1"/>
    </xf>
    <xf numFmtId="0" fontId="64" fillId="38" borderId="53" xfId="0" applyFont="1" applyFill="1" applyBorder="1" applyAlignment="1">
      <alignment horizontal="center" vertical="center" wrapText="1"/>
    </xf>
    <xf numFmtId="0" fontId="64" fillId="36" borderId="53" xfId="0" applyFont="1" applyFill="1" applyBorder="1" applyAlignment="1">
      <alignment horizontal="center" vertical="center" wrapText="1"/>
    </xf>
    <xf numFmtId="0" fontId="49" fillId="48" borderId="43" xfId="0" applyFont="1" applyFill="1" applyBorder="1" applyAlignment="1">
      <alignment horizontal="center" vertical="center"/>
    </xf>
    <xf numFmtId="0" fontId="49" fillId="48" borderId="39" xfId="0" applyFont="1" applyFill="1" applyBorder="1" applyAlignment="1">
      <alignment horizontal="center" vertical="center"/>
    </xf>
    <xf numFmtId="0" fontId="49" fillId="49" borderId="43" xfId="0" applyFont="1" applyFill="1" applyBorder="1" applyAlignment="1">
      <alignment horizontal="center" vertical="center"/>
    </xf>
    <xf numFmtId="0" fontId="49" fillId="49" borderId="39" xfId="0" applyFont="1" applyFill="1" applyBorder="1" applyAlignment="1">
      <alignment horizontal="center" vertical="center"/>
    </xf>
    <xf numFmtId="0" fontId="66" fillId="38" borderId="0" xfId="0" applyFont="1" applyFill="1" applyAlignment="1">
      <alignment vertical="center" wrapText="1"/>
    </xf>
    <xf numFmtId="0" fontId="67" fillId="36" borderId="56" xfId="0" applyFont="1" applyFill="1" applyBorder="1" applyAlignment="1">
      <alignment horizontal="left" vertical="top" wrapText="1"/>
    </xf>
    <xf numFmtId="173" fontId="32" fillId="36" borderId="56" xfId="0" applyNumberFormat="1" applyFont="1" applyFill="1" applyBorder="1" applyAlignment="1">
      <alignment horizontal="left" vertical="top" wrapText="1"/>
    </xf>
    <xf numFmtId="0" fontId="68" fillId="36" borderId="56" xfId="0" applyFont="1" applyFill="1" applyBorder="1" applyAlignment="1">
      <alignment horizontal="left" vertical="top" wrapText="1"/>
    </xf>
    <xf numFmtId="174" fontId="32" fillId="36" borderId="56" xfId="0" applyNumberFormat="1" applyFont="1" applyFill="1" applyBorder="1" applyAlignment="1">
      <alignment horizontal="center" vertical="center" wrapText="1"/>
    </xf>
    <xf numFmtId="174" fontId="32" fillId="36" borderId="56" xfId="0" applyNumberFormat="1" applyFont="1" applyFill="1" applyBorder="1" applyAlignment="1">
      <alignment horizontal="center" vertical="top" wrapText="1"/>
    </xf>
    <xf numFmtId="174" fontId="32" fillId="36" borderId="56" xfId="0" applyNumberFormat="1" applyFont="1" applyFill="1" applyBorder="1" applyAlignment="1">
      <alignment horizontal="left" vertical="top" wrapText="1"/>
    </xf>
    <xf numFmtId="0" fontId="67" fillId="38" borderId="56" xfId="0" applyFont="1" applyFill="1" applyBorder="1" applyAlignment="1">
      <alignment horizontal="left" vertical="top" wrapText="1"/>
    </xf>
    <xf numFmtId="173" fontId="32" fillId="38" borderId="56" xfId="0" applyNumberFormat="1" applyFont="1" applyFill="1" applyBorder="1" applyAlignment="1">
      <alignment horizontal="left" vertical="top" wrapText="1"/>
    </xf>
    <xf numFmtId="0" fontId="68" fillId="38" borderId="56" xfId="0" applyFont="1" applyFill="1" applyBorder="1" applyAlignment="1">
      <alignment horizontal="left" vertical="top" wrapText="1"/>
    </xf>
    <xf numFmtId="174" fontId="32" fillId="38" borderId="56" xfId="0" applyNumberFormat="1" applyFont="1" applyFill="1" applyBorder="1" applyAlignment="1">
      <alignment horizontal="center" vertical="center" wrapText="1"/>
    </xf>
    <xf numFmtId="174" fontId="32" fillId="38" borderId="56" xfId="0" applyNumberFormat="1" applyFont="1" applyFill="1" applyBorder="1" applyAlignment="1">
      <alignment horizontal="center" vertical="top" wrapText="1"/>
    </xf>
    <xf numFmtId="174" fontId="32" fillId="38" borderId="56" xfId="0" applyNumberFormat="1" applyFont="1" applyFill="1" applyBorder="1" applyAlignment="1">
      <alignment horizontal="left" vertical="top" wrapText="1"/>
    </xf>
    <xf numFmtId="0" fontId="69" fillId="36" borderId="56" xfId="0" applyFont="1" applyFill="1" applyBorder="1" applyAlignment="1">
      <alignment horizontal="left" vertical="top" wrapText="1"/>
    </xf>
    <xf numFmtId="173" fontId="70" fillId="36" borderId="56" xfId="0" applyNumberFormat="1" applyFont="1" applyFill="1" applyBorder="1" applyAlignment="1">
      <alignment horizontal="left" vertical="top" wrapText="1"/>
    </xf>
    <xf numFmtId="174" fontId="70" fillId="36" borderId="56" xfId="0" applyNumberFormat="1" applyFont="1" applyFill="1" applyBorder="1" applyAlignment="1">
      <alignment horizontal="center" vertical="top" wrapText="1"/>
    </xf>
    <xf numFmtId="174" fontId="70" fillId="36" borderId="56" xfId="0" applyNumberFormat="1" applyFont="1" applyFill="1" applyBorder="1" applyAlignment="1">
      <alignment horizontal="right" vertical="top" wrapText="1"/>
    </xf>
    <xf numFmtId="0" fontId="69" fillId="38" borderId="56" xfId="0" applyFont="1" applyFill="1" applyBorder="1" applyAlignment="1">
      <alignment horizontal="left" vertical="top" wrapText="1"/>
    </xf>
    <xf numFmtId="173" fontId="70" fillId="38" borderId="56" xfId="0" applyNumberFormat="1" applyFont="1" applyFill="1" applyBorder="1" applyAlignment="1">
      <alignment horizontal="left" vertical="top" wrapText="1"/>
    </xf>
    <xf numFmtId="174" fontId="70" fillId="38" borderId="56" xfId="0" applyNumberFormat="1" applyFont="1" applyFill="1" applyBorder="1" applyAlignment="1">
      <alignment horizontal="center" vertical="center" wrapText="1"/>
    </xf>
    <xf numFmtId="174" fontId="70" fillId="38" borderId="56" xfId="0" applyNumberFormat="1" applyFont="1" applyFill="1" applyBorder="1" applyAlignment="1">
      <alignment horizontal="center" vertical="top" wrapText="1"/>
    </xf>
    <xf numFmtId="174" fontId="70" fillId="38" borderId="56" xfId="0" applyNumberFormat="1" applyFont="1" applyFill="1" applyBorder="1" applyAlignment="1">
      <alignment horizontal="left" vertical="top" wrapText="1"/>
    </xf>
    <xf numFmtId="174" fontId="70" fillId="36" borderId="56" xfId="0" applyNumberFormat="1" applyFont="1" applyFill="1" applyBorder="1" applyAlignment="1">
      <alignment horizontal="center" vertical="center" wrapText="1"/>
    </xf>
    <xf numFmtId="174" fontId="70" fillId="36" borderId="56" xfId="0" applyNumberFormat="1" applyFont="1" applyFill="1" applyBorder="1" applyAlignment="1">
      <alignment horizontal="left" vertical="top" wrapText="1"/>
    </xf>
    <xf numFmtId="0" fontId="68" fillId="38" borderId="49" xfId="0" applyFont="1" applyFill="1" applyBorder="1" applyAlignment="1">
      <alignment horizontal="left" vertical="top" wrapText="1"/>
    </xf>
    <xf numFmtId="174" fontId="70" fillId="38" borderId="49" xfId="0" applyNumberFormat="1" applyFont="1" applyFill="1" applyBorder="1" applyAlignment="1">
      <alignment horizontal="center" vertical="top" wrapText="1"/>
    </xf>
    <xf numFmtId="174" fontId="70" fillId="38" borderId="49" xfId="0" applyNumberFormat="1" applyFont="1" applyFill="1" applyBorder="1" applyAlignment="1">
      <alignment horizontal="left" vertical="top" wrapText="1"/>
    </xf>
    <xf numFmtId="0" fontId="68" fillId="36" borderId="0" xfId="0" applyFont="1" applyFill="1" applyAlignment="1">
      <alignment vertical="top" wrapText="1"/>
    </xf>
    <xf numFmtId="4" fontId="0" fillId="36" borderId="0" xfId="0" applyNumberFormat="1" applyFill="1"/>
    <xf numFmtId="4" fontId="0" fillId="38" borderId="0" xfId="0" applyNumberFormat="1" applyFill="1"/>
    <xf numFmtId="0" fontId="51" fillId="38" borderId="49" xfId="0" applyFont="1" applyFill="1" applyBorder="1" applyAlignment="1">
      <alignment horizontal="left" vertical="center"/>
    </xf>
    <xf numFmtId="171" fontId="71" fillId="38" borderId="41" xfId="43" applyNumberFormat="1" applyFont="1" applyFill="1" applyBorder="1" applyAlignment="1">
      <alignment horizontal="center" vertical="center"/>
    </xf>
    <xf numFmtId="171" fontId="71" fillId="38" borderId="49" xfId="43" applyNumberFormat="1" applyFont="1" applyFill="1" applyBorder="1" applyAlignment="1">
      <alignment horizontal="center" vertical="center"/>
    </xf>
    <xf numFmtId="171" fontId="72" fillId="38" borderId="40" xfId="43" applyNumberFormat="1" applyFont="1" applyFill="1" applyBorder="1" applyAlignment="1">
      <alignment horizontal="center" vertical="center"/>
    </xf>
    <xf numFmtId="169" fontId="72" fillId="38" borderId="57" xfId="0" applyNumberFormat="1" applyFont="1" applyFill="1" applyBorder="1" applyAlignment="1">
      <alignment horizontal="center" vertical="center"/>
    </xf>
    <xf numFmtId="169" fontId="71" fillId="38" borderId="41" xfId="0" applyNumberFormat="1" applyFont="1" applyFill="1" applyBorder="1" applyAlignment="1">
      <alignment horizontal="center" vertical="center"/>
    </xf>
    <xf numFmtId="169" fontId="71" fillId="38" borderId="49" xfId="0" applyNumberFormat="1" applyFont="1" applyFill="1" applyBorder="1" applyAlignment="1">
      <alignment horizontal="center" vertical="center"/>
    </xf>
    <xf numFmtId="169" fontId="72" fillId="38" borderId="40" xfId="0" applyNumberFormat="1" applyFont="1" applyFill="1" applyBorder="1" applyAlignment="1">
      <alignment horizontal="center" vertical="center"/>
    </xf>
    <xf numFmtId="171" fontId="72" fillId="38" borderId="57" xfId="43" applyNumberFormat="1" applyFont="1" applyFill="1" applyBorder="1" applyAlignment="1">
      <alignment horizontal="center" vertical="center"/>
    </xf>
    <xf numFmtId="169" fontId="72" fillId="38" borderId="41" xfId="43" applyNumberFormat="1" applyFont="1" applyFill="1" applyBorder="1" applyAlignment="1">
      <alignment horizontal="center" vertical="center"/>
    </xf>
    <xf numFmtId="0" fontId="65" fillId="38" borderId="0" xfId="0" applyFont="1" applyFill="1" applyAlignment="1">
      <alignment horizontal="center" vertical="center" wrapText="1"/>
    </xf>
    <xf numFmtId="0" fontId="67" fillId="36" borderId="0" xfId="0" applyFont="1" applyFill="1" applyAlignment="1">
      <alignment horizontal="left" vertical="top" wrapText="1"/>
    </xf>
    <xf numFmtId="173" fontId="32" fillId="36" borderId="0" xfId="0" applyNumberFormat="1" applyFont="1" applyFill="1" applyAlignment="1">
      <alignment horizontal="left" vertical="top" wrapText="1"/>
    </xf>
    <xf numFmtId="175" fontId="32" fillId="36" borderId="0" xfId="0" applyNumberFormat="1" applyFont="1" applyFill="1" applyAlignment="1">
      <alignment horizontal="left" vertical="top" wrapText="1"/>
    </xf>
    <xf numFmtId="174" fontId="32" fillId="36" borderId="0" xfId="0" applyNumberFormat="1" applyFont="1" applyFill="1" applyAlignment="1">
      <alignment horizontal="center" vertical="top" wrapText="1"/>
    </xf>
    <xf numFmtId="174" fontId="32" fillId="36" borderId="0" xfId="0" applyNumberFormat="1" applyFont="1" applyFill="1" applyAlignment="1">
      <alignment horizontal="left" vertical="top" wrapText="1"/>
    </xf>
    <xf numFmtId="0" fontId="67" fillId="38" borderId="0" xfId="0" applyFont="1" applyFill="1" applyAlignment="1">
      <alignment horizontal="left" vertical="top" wrapText="1"/>
    </xf>
    <xf numFmtId="173" fontId="32" fillId="38" borderId="0" xfId="0" applyNumberFormat="1" applyFont="1" applyFill="1" applyAlignment="1">
      <alignment horizontal="left" vertical="top" wrapText="1"/>
    </xf>
    <xf numFmtId="175" fontId="32" fillId="38" borderId="0" xfId="0" applyNumberFormat="1" applyFont="1" applyFill="1" applyAlignment="1">
      <alignment horizontal="left" vertical="top" wrapText="1"/>
    </xf>
    <xf numFmtId="174" fontId="32" fillId="38" borderId="0" xfId="0" applyNumberFormat="1" applyFont="1" applyFill="1" applyAlignment="1">
      <alignment horizontal="center" vertical="top" wrapText="1"/>
    </xf>
    <xf numFmtId="174" fontId="32" fillId="38" borderId="0" xfId="0" applyNumberFormat="1" applyFont="1" applyFill="1" applyAlignment="1">
      <alignment horizontal="left" vertical="top" wrapText="1"/>
    </xf>
    <xf numFmtId="0" fontId="69" fillId="36" borderId="0" xfId="0" applyFont="1" applyFill="1" applyAlignment="1">
      <alignment horizontal="left" vertical="top" wrapText="1"/>
    </xf>
    <xf numFmtId="173" fontId="70" fillId="36" borderId="0" xfId="0" applyNumberFormat="1" applyFont="1" applyFill="1" applyAlignment="1">
      <alignment horizontal="left" vertical="top" wrapText="1"/>
    </xf>
    <xf numFmtId="175" fontId="70" fillId="36" borderId="0" xfId="0" applyNumberFormat="1" applyFont="1" applyFill="1" applyAlignment="1">
      <alignment horizontal="left" vertical="top" wrapText="1"/>
    </xf>
    <xf numFmtId="174" fontId="70" fillId="36" borderId="0" xfId="0" applyNumberFormat="1" applyFont="1" applyFill="1" applyAlignment="1">
      <alignment horizontal="center" vertical="top" wrapText="1"/>
    </xf>
    <xf numFmtId="174" fontId="70" fillId="36" borderId="0" xfId="0" applyNumberFormat="1" applyFont="1" applyFill="1" applyAlignment="1">
      <alignment horizontal="right" vertical="top" wrapText="1"/>
    </xf>
    <xf numFmtId="0" fontId="69" fillId="38" borderId="0" xfId="0" applyFont="1" applyFill="1" applyAlignment="1">
      <alignment horizontal="left" vertical="top" wrapText="1"/>
    </xf>
    <xf numFmtId="173" fontId="70" fillId="38" borderId="0" xfId="0" applyNumberFormat="1" applyFont="1" applyFill="1" applyAlignment="1">
      <alignment horizontal="left" vertical="top" wrapText="1"/>
    </xf>
    <xf numFmtId="175" fontId="70" fillId="38" borderId="0" xfId="0" applyNumberFormat="1" applyFont="1" applyFill="1" applyAlignment="1">
      <alignment horizontal="left" vertical="top" wrapText="1"/>
    </xf>
    <xf numFmtId="174" fontId="70" fillId="38" borderId="0" xfId="0" applyNumberFormat="1" applyFont="1" applyFill="1" applyAlignment="1">
      <alignment horizontal="center" vertical="top" wrapText="1"/>
    </xf>
    <xf numFmtId="174" fontId="70" fillId="38" borderId="0" xfId="0" applyNumberFormat="1" applyFont="1" applyFill="1" applyAlignment="1">
      <alignment horizontal="left" vertical="top" wrapText="1"/>
    </xf>
    <xf numFmtId="174" fontId="70" fillId="36" borderId="0" xfId="0" applyNumberFormat="1" applyFont="1" applyFill="1" applyAlignment="1">
      <alignment horizontal="left" vertical="top" wrapText="1"/>
    </xf>
    <xf numFmtId="3" fontId="0" fillId="36" borderId="0" xfId="0" applyNumberFormat="1" applyFill="1"/>
    <xf numFmtId="3" fontId="0" fillId="38" borderId="0" xfId="0" applyNumberFormat="1" applyFill="1"/>
    <xf numFmtId="0" fontId="51" fillId="38" borderId="0" xfId="0" applyFont="1" applyFill="1" applyAlignment="1">
      <alignment horizontal="left" vertical="center"/>
    </xf>
    <xf numFmtId="171" fontId="71" fillId="38" borderId="50" xfId="43" applyNumberFormat="1" applyFont="1" applyFill="1" applyBorder="1" applyAlignment="1">
      <alignment horizontal="center" vertical="center"/>
    </xf>
    <xf numFmtId="171" fontId="51" fillId="38" borderId="0" xfId="43" applyNumberFormat="1" applyFont="1" applyFill="1" applyAlignment="1">
      <alignment horizontal="center" vertical="center"/>
    </xf>
    <xf numFmtId="171" fontId="72" fillId="38" borderId="42" xfId="43" applyNumberFormat="1" applyFont="1" applyFill="1" applyBorder="1" applyAlignment="1">
      <alignment horizontal="center" vertical="center"/>
    </xf>
    <xf numFmtId="169" fontId="72" fillId="38" borderId="58" xfId="0" applyNumberFormat="1" applyFont="1" applyFill="1" applyBorder="1" applyAlignment="1">
      <alignment horizontal="center" vertical="center"/>
    </xf>
    <xf numFmtId="169" fontId="71" fillId="38" borderId="50" xfId="0" applyNumberFormat="1" applyFont="1" applyFill="1" applyBorder="1" applyAlignment="1">
      <alignment horizontal="center" vertical="center"/>
    </xf>
    <xf numFmtId="169" fontId="51" fillId="38" borderId="0" xfId="0" applyNumberFormat="1" applyFont="1" applyFill="1" applyAlignment="1">
      <alignment horizontal="center" vertical="center"/>
    </xf>
    <xf numFmtId="169" fontId="72" fillId="38" borderId="42" xfId="0" applyNumberFormat="1" applyFont="1" applyFill="1" applyBorder="1" applyAlignment="1">
      <alignment horizontal="center" vertical="center"/>
    </xf>
    <xf numFmtId="171" fontId="72" fillId="38" borderId="58" xfId="43" applyNumberFormat="1" applyFont="1" applyFill="1" applyBorder="1" applyAlignment="1">
      <alignment horizontal="center" vertical="center"/>
    </xf>
    <xf numFmtId="169" fontId="72" fillId="38" borderId="50" xfId="43" applyNumberFormat="1" applyFont="1" applyFill="1" applyBorder="1" applyAlignment="1">
      <alignment horizontal="center" vertical="center"/>
    </xf>
    <xf numFmtId="0" fontId="65" fillId="38" borderId="0" xfId="0" applyFont="1" applyFill="1" applyAlignment="1">
      <alignment vertical="center" wrapText="1"/>
    </xf>
    <xf numFmtId="0" fontId="63" fillId="38" borderId="0" xfId="0" applyFont="1" applyFill="1" applyAlignment="1">
      <alignment vertical="center" wrapText="1"/>
    </xf>
    <xf numFmtId="0" fontId="69" fillId="38" borderId="0" xfId="0" applyFont="1" applyFill="1" applyAlignment="1">
      <alignment horizontal="center" vertical="top" wrapText="1"/>
    </xf>
    <xf numFmtId="0" fontId="73" fillId="38" borderId="0" xfId="0" applyFont="1" applyFill="1" applyAlignment="1">
      <alignment vertical="center" wrapText="1"/>
    </xf>
    <xf numFmtId="176" fontId="70" fillId="36" borderId="0" xfId="0" applyNumberFormat="1" applyFont="1" applyFill="1" applyAlignment="1">
      <alignment horizontal="left" vertical="top" wrapText="1"/>
    </xf>
    <xf numFmtId="176" fontId="70" fillId="38" borderId="0" xfId="0" applyNumberFormat="1" applyFont="1" applyFill="1" applyAlignment="1">
      <alignment horizontal="left" vertical="top" wrapText="1"/>
    </xf>
    <xf numFmtId="176" fontId="32" fillId="36" borderId="0" xfId="0" applyNumberFormat="1" applyFont="1" applyFill="1" applyAlignment="1">
      <alignment horizontal="left" vertical="top" wrapText="1"/>
    </xf>
    <xf numFmtId="176" fontId="32" fillId="38" borderId="0" xfId="0" applyNumberFormat="1" applyFont="1" applyFill="1" applyAlignment="1">
      <alignment horizontal="left" vertical="top" wrapText="1"/>
    </xf>
    <xf numFmtId="174" fontId="32" fillId="38" borderId="0" xfId="0" applyNumberFormat="1" applyFont="1" applyFill="1" applyAlignment="1">
      <alignment horizontal="center" vertical="center" wrapText="1"/>
    </xf>
    <xf numFmtId="174" fontId="32" fillId="36" borderId="0" xfId="0" applyNumberFormat="1" applyFont="1" applyFill="1" applyAlignment="1">
      <alignment horizontal="center" vertical="center" wrapText="1"/>
    </xf>
    <xf numFmtId="0" fontId="68" fillId="0" borderId="0" xfId="0" applyFont="1" applyAlignment="1">
      <alignment vertical="top" wrapText="1"/>
    </xf>
    <xf numFmtId="171" fontId="71" fillId="38" borderId="43" xfId="43" applyNumberFormat="1" applyFont="1" applyFill="1" applyBorder="1" applyAlignment="1">
      <alignment horizontal="center" vertical="center"/>
    </xf>
    <xf numFmtId="171" fontId="71" fillId="38" borderId="39" xfId="43" applyNumberFormat="1" applyFont="1" applyFill="1" applyBorder="1" applyAlignment="1">
      <alignment horizontal="center" vertical="center"/>
    </xf>
    <xf numFmtId="171" fontId="72" fillId="38" borderId="44" xfId="43" applyNumberFormat="1" applyFont="1" applyFill="1" applyBorder="1" applyAlignment="1">
      <alignment horizontal="center" vertical="center"/>
    </xf>
    <xf numFmtId="169" fontId="72" fillId="38" borderId="59" xfId="0" applyNumberFormat="1" applyFont="1" applyFill="1" applyBorder="1" applyAlignment="1">
      <alignment horizontal="center" vertical="center"/>
    </xf>
    <xf numFmtId="169" fontId="71" fillId="38" borderId="43" xfId="0" applyNumberFormat="1" applyFont="1" applyFill="1" applyBorder="1" applyAlignment="1">
      <alignment horizontal="center" vertical="center"/>
    </xf>
    <xf numFmtId="169" fontId="71" fillId="38" borderId="39" xfId="0" applyNumberFormat="1" applyFont="1" applyFill="1" applyBorder="1" applyAlignment="1">
      <alignment horizontal="center" vertical="center"/>
    </xf>
    <xf numFmtId="169" fontId="72" fillId="38" borderId="44" xfId="0" applyNumberFormat="1" applyFont="1" applyFill="1" applyBorder="1" applyAlignment="1">
      <alignment horizontal="center" vertical="center"/>
    </xf>
    <xf numFmtId="171" fontId="72" fillId="38" borderId="59" xfId="43" applyNumberFormat="1" applyFont="1" applyFill="1" applyBorder="1" applyAlignment="1">
      <alignment horizontal="center" vertical="center"/>
    </xf>
    <xf numFmtId="169" fontId="72" fillId="38" borderId="43" xfId="43" applyNumberFormat="1" applyFont="1" applyFill="1" applyBorder="1" applyAlignment="1">
      <alignment horizontal="center" vertical="center"/>
    </xf>
    <xf numFmtId="0" fontId="68" fillId="36" borderId="0" xfId="0" applyFont="1" applyFill="1" applyAlignment="1">
      <alignment horizontal="left" vertical="top" wrapText="1"/>
    </xf>
    <xf numFmtId="0" fontId="68" fillId="38" borderId="0" xfId="0" applyFont="1" applyFill="1" applyAlignment="1">
      <alignment horizontal="left" vertical="top" wrapText="1"/>
    </xf>
    <xf numFmtId="0" fontId="49" fillId="48" borderId="47" xfId="0" applyFont="1" applyFill="1" applyBorder="1" applyAlignment="1">
      <alignment horizontal="center" vertical="center"/>
    </xf>
    <xf numFmtId="171" fontId="49" fillId="48" borderId="48" xfId="43" applyNumberFormat="1" applyFont="1" applyFill="1" applyBorder="1" applyAlignment="1">
      <alignment horizontal="center" vertical="center"/>
    </xf>
    <xf numFmtId="171" fontId="49" fillId="48" borderId="47" xfId="43" applyNumberFormat="1" applyFont="1" applyFill="1" applyBorder="1" applyAlignment="1">
      <alignment horizontal="center" vertical="center"/>
    </xf>
    <xf numFmtId="171" fontId="49" fillId="48" borderId="45" xfId="43" applyNumberFormat="1" applyFont="1" applyFill="1" applyBorder="1" applyAlignment="1">
      <alignment horizontal="center" vertical="center"/>
    </xf>
    <xf numFmtId="169" fontId="49" fillId="48" borderId="45" xfId="0" applyNumberFormat="1" applyFont="1" applyFill="1" applyBorder="1" applyAlignment="1">
      <alignment horizontal="center" vertical="center"/>
    </xf>
    <xf numFmtId="171" fontId="49" fillId="48" borderId="46" xfId="43" applyNumberFormat="1" applyFont="1" applyFill="1" applyBorder="1" applyAlignment="1">
      <alignment horizontal="center" vertical="center"/>
    </xf>
    <xf numFmtId="169" fontId="49" fillId="48" borderId="48" xfId="43" applyNumberFormat="1" applyFont="1" applyFill="1" applyBorder="1" applyAlignment="1">
      <alignment horizontal="center" vertical="center"/>
    </xf>
    <xf numFmtId="174" fontId="75" fillId="36" borderId="48" xfId="0" applyNumberFormat="1" applyFont="1" applyFill="1" applyBorder="1" applyAlignment="1">
      <alignment horizontal="left" vertical="top" wrapText="1"/>
    </xf>
    <xf numFmtId="174" fontId="75" fillId="36" borderId="45" xfId="0" applyNumberFormat="1" applyFont="1" applyFill="1" applyBorder="1" applyAlignment="1">
      <alignment horizontal="center" vertical="top" wrapText="1"/>
    </xf>
    <xf numFmtId="174" fontId="75" fillId="38" borderId="48" xfId="0" applyNumberFormat="1" applyFont="1" applyFill="1" applyBorder="1" applyAlignment="1">
      <alignment horizontal="center" vertical="top" wrapText="1"/>
    </xf>
    <xf numFmtId="174" fontId="75" fillId="38" borderId="45" xfId="0" applyNumberFormat="1" applyFont="1" applyFill="1" applyBorder="1" applyAlignment="1">
      <alignment horizontal="center" vertical="top" wrapText="1"/>
    </xf>
    <xf numFmtId="174" fontId="75" fillId="38" borderId="47" xfId="0" applyNumberFormat="1" applyFont="1" applyFill="1" applyBorder="1" applyAlignment="1">
      <alignment vertical="top" wrapText="1"/>
    </xf>
    <xf numFmtId="174" fontId="75" fillId="36" borderId="48" xfId="0" applyNumberFormat="1" applyFont="1" applyFill="1" applyBorder="1" applyAlignment="1">
      <alignment horizontal="center" vertical="top" wrapText="1"/>
    </xf>
    <xf numFmtId="174" fontId="75" fillId="36" borderId="47" xfId="0" applyNumberFormat="1" applyFont="1" applyFill="1" applyBorder="1" applyAlignment="1">
      <alignment vertical="top" wrapText="1"/>
    </xf>
    <xf numFmtId="174" fontId="75" fillId="38" borderId="48" xfId="0" applyNumberFormat="1" applyFont="1" applyFill="1" applyBorder="1" applyAlignment="1">
      <alignment horizontal="left" vertical="top" wrapText="1"/>
    </xf>
    <xf numFmtId="174" fontId="19" fillId="36" borderId="48" xfId="0" applyNumberFormat="1" applyFont="1" applyFill="1" applyBorder="1" applyAlignment="1">
      <alignment horizontal="left" vertical="top" wrapText="1"/>
    </xf>
    <xf numFmtId="174" fontId="19" fillId="36" borderId="45" xfId="0" applyNumberFormat="1" applyFont="1" applyFill="1" applyBorder="1" applyAlignment="1">
      <alignment horizontal="center" vertical="top" wrapText="1"/>
    </xf>
    <xf numFmtId="174" fontId="19" fillId="36" borderId="47" xfId="0" applyNumberFormat="1" applyFont="1" applyFill="1" applyBorder="1" applyAlignment="1">
      <alignment horizontal="left" vertical="top" wrapText="1"/>
    </xf>
    <xf numFmtId="174" fontId="19" fillId="38" borderId="48" xfId="0" applyNumberFormat="1" applyFont="1" applyFill="1" applyBorder="1" applyAlignment="1">
      <alignment horizontal="left" vertical="top" wrapText="1"/>
    </xf>
    <xf numFmtId="174" fontId="19" fillId="38" borderId="45" xfId="0" applyNumberFormat="1" applyFont="1" applyFill="1" applyBorder="1" applyAlignment="1">
      <alignment horizontal="center" vertical="top" wrapText="1"/>
    </xf>
    <xf numFmtId="174" fontId="19" fillId="38" borderId="47" xfId="0" applyNumberFormat="1" applyFont="1" applyFill="1" applyBorder="1" applyAlignment="1">
      <alignment horizontal="left" vertical="top" wrapText="1"/>
    </xf>
    <xf numFmtId="0" fontId="65" fillId="38" borderId="0" xfId="0" applyFont="1" applyFill="1" applyAlignment="1">
      <alignment horizontal="left" vertical="center" wrapText="1" indent="3"/>
    </xf>
    <xf numFmtId="0" fontId="65" fillId="38" borderId="53" xfId="0" applyFont="1" applyFill="1" applyBorder="1" applyAlignment="1">
      <alignment horizontal="center" vertical="center" wrapText="1"/>
    </xf>
    <xf numFmtId="0" fontId="64" fillId="38" borderId="53" xfId="0" applyFont="1" applyFill="1" applyBorder="1" applyAlignment="1">
      <alignment horizontal="left" vertical="center" wrapText="1" indent="3"/>
    </xf>
    <xf numFmtId="0" fontId="63" fillId="38" borderId="53" xfId="0" applyFont="1" applyFill="1" applyBorder="1" applyAlignment="1">
      <alignment vertical="center" wrapText="1"/>
    </xf>
    <xf numFmtId="0" fontId="64" fillId="38" borderId="53" xfId="0" applyFont="1" applyFill="1" applyBorder="1" applyAlignment="1">
      <alignment horizontal="left" vertical="center" wrapText="1" indent="2"/>
    </xf>
    <xf numFmtId="0" fontId="0" fillId="0" borderId="0" xfId="0" applyAlignment="1">
      <alignment vertical="center"/>
    </xf>
    <xf numFmtId="0" fontId="47" fillId="46" borderId="0" xfId="0" applyFont="1" applyFill="1" applyAlignment="1">
      <alignment horizontal="left"/>
    </xf>
    <xf numFmtId="0" fontId="47" fillId="46" borderId="0" xfId="0" applyFont="1" applyFill="1" applyAlignment="1">
      <alignment horizontal="right"/>
    </xf>
    <xf numFmtId="0" fontId="16" fillId="38" borderId="61" xfId="0" applyFont="1" applyFill="1" applyBorder="1" applyAlignment="1">
      <alignment horizontal="center" vertical="center"/>
    </xf>
    <xf numFmtId="0" fontId="16" fillId="38" borderId="66" xfId="0" applyFont="1" applyFill="1" applyBorder="1" applyAlignment="1">
      <alignment horizontal="center" vertical="center" wrapText="1"/>
    </xf>
    <xf numFmtId="0" fontId="0" fillId="0" borderId="67" xfId="0" applyBorder="1" applyAlignment="1">
      <alignment horizontal="left" vertical="center"/>
    </xf>
    <xf numFmtId="166" fontId="0" fillId="0" borderId="67" xfId="0" applyNumberFormat="1" applyBorder="1" applyAlignment="1">
      <alignment horizontal="right" vertical="center" wrapText="1"/>
    </xf>
    <xf numFmtId="0" fontId="28" fillId="35" borderId="0" xfId="0" applyFont="1" applyFill="1" applyAlignment="1">
      <alignment horizontal="left" vertical="center"/>
    </xf>
    <xf numFmtId="0" fontId="22" fillId="35" borderId="0" xfId="0" applyFont="1" applyFill="1" applyAlignment="1">
      <alignment horizontal="left" vertical="center" indent="2"/>
    </xf>
    <xf numFmtId="0" fontId="80" fillId="46" borderId="0" xfId="0" applyFont="1" applyFill="1" applyAlignment="1">
      <alignment horizontal="left"/>
    </xf>
    <xf numFmtId="0" fontId="80" fillId="46" borderId="0" xfId="0" applyFont="1" applyFill="1" applyAlignment="1">
      <alignment horizontal="right"/>
    </xf>
    <xf numFmtId="0" fontId="51" fillId="46" borderId="0" xfId="0" applyFont="1" applyFill="1" applyAlignment="1">
      <alignment horizontal="right"/>
    </xf>
    <xf numFmtId="0" fontId="58" fillId="46" borderId="0" xfId="0" applyFont="1" applyFill="1" applyAlignment="1">
      <alignment horizontal="right"/>
    </xf>
    <xf numFmtId="0" fontId="81" fillId="46" borderId="0" xfId="0" applyFont="1" applyFill="1" applyAlignment="1">
      <alignment horizontal="right"/>
    </xf>
    <xf numFmtId="0" fontId="0" fillId="46" borderId="0" xfId="0" applyFill="1" applyAlignment="1">
      <alignment horizontal="right"/>
    </xf>
    <xf numFmtId="0" fontId="77" fillId="46" borderId="0" xfId="0" applyFont="1" applyFill="1" applyAlignment="1">
      <alignment horizontal="right"/>
    </xf>
    <xf numFmtId="0" fontId="82" fillId="46" borderId="0" xfId="0" applyFont="1" applyFill="1" applyAlignment="1">
      <alignment horizontal="right"/>
    </xf>
    <xf numFmtId="0" fontId="45" fillId="46" borderId="0" xfId="0" applyFont="1" applyFill="1" applyAlignment="1">
      <alignment horizontal="right"/>
    </xf>
    <xf numFmtId="0" fontId="83" fillId="47" borderId="47" xfId="44" applyFont="1" applyFill="1" applyAlignment="1" applyProtection="1">
      <alignment horizontal="center" vertical="center"/>
    </xf>
    <xf numFmtId="0" fontId="45" fillId="47" borderId="46" xfId="44" applyFont="1" applyFill="1" applyBorder="1" applyAlignment="1" applyProtection="1">
      <alignment horizontal="center" vertical="center"/>
    </xf>
    <xf numFmtId="0" fontId="41" fillId="47" borderId="46" xfId="44" applyFont="1" applyFill="1" applyBorder="1" applyAlignment="1" applyProtection="1">
      <alignment horizontal="right" vertical="center"/>
    </xf>
    <xf numFmtId="0" fontId="41" fillId="47" borderId="47" xfId="44" applyFont="1" applyFill="1" applyAlignment="1" applyProtection="1">
      <alignment horizontal="right" vertical="center"/>
    </xf>
    <xf numFmtId="0" fontId="84" fillId="47" borderId="48" xfId="0" applyFont="1" applyFill="1" applyBorder="1" applyAlignment="1">
      <alignment vertical="center"/>
    </xf>
    <xf numFmtId="0" fontId="71" fillId="46" borderId="0" xfId="44" applyFont="1" applyFill="1" applyBorder="1" applyAlignment="1" applyProtection="1">
      <alignment horizontal="left" vertical="center"/>
    </xf>
    <xf numFmtId="3" fontId="85" fillId="46" borderId="0" xfId="44" applyNumberFormat="1" applyFont="1" applyFill="1" applyBorder="1" applyAlignment="1" applyProtection="1">
      <alignment horizontal="right" vertical="center"/>
    </xf>
    <xf numFmtId="3" fontId="85" fillId="46" borderId="0" xfId="44" applyNumberFormat="1" applyFont="1" applyFill="1" applyBorder="1" applyAlignment="1">
      <alignment horizontal="right" vertical="center"/>
    </xf>
    <xf numFmtId="0" fontId="51" fillId="46" borderId="0" xfId="0" applyFont="1" applyFill="1" applyAlignment="1">
      <alignment horizontal="left" vertical="center"/>
    </xf>
    <xf numFmtId="3" fontId="52" fillId="46" borderId="0" xfId="0" applyNumberFormat="1" applyFont="1" applyFill="1" applyAlignment="1">
      <alignment horizontal="right" vertical="center"/>
    </xf>
    <xf numFmtId="3" fontId="85" fillId="46" borderId="0" xfId="0" applyNumberFormat="1" applyFont="1" applyFill="1" applyAlignment="1">
      <alignment horizontal="right" vertical="center"/>
    </xf>
    <xf numFmtId="0" fontId="49" fillId="47" borderId="47" xfId="0" applyFont="1" applyFill="1" applyBorder="1" applyAlignment="1">
      <alignment horizontal="left" vertical="center"/>
    </xf>
    <xf numFmtId="3" fontId="41" fillId="47" borderId="47" xfId="0" applyNumberFormat="1" applyFont="1" applyFill="1" applyBorder="1" applyAlignment="1">
      <alignment horizontal="right" vertical="center"/>
    </xf>
    <xf numFmtId="3" fontId="84" fillId="47" borderId="47" xfId="0" applyNumberFormat="1" applyFont="1" applyFill="1" applyBorder="1" applyAlignment="1">
      <alignment vertical="center"/>
    </xf>
    <xf numFmtId="0" fontId="49" fillId="46" borderId="0" xfId="44" applyFont="1" applyFill="1" applyBorder="1" applyAlignment="1" applyProtection="1">
      <alignment horizontal="left" vertical="center"/>
    </xf>
    <xf numFmtId="0" fontId="85" fillId="46" borderId="0" xfId="44" applyFont="1" applyFill="1" applyBorder="1" applyAlignment="1" applyProtection="1">
      <alignment horizontal="right" vertical="center"/>
    </xf>
    <xf numFmtId="3" fontId="41" fillId="46" borderId="0" xfId="0" applyNumberFormat="1" applyFont="1" applyFill="1" applyAlignment="1">
      <alignment horizontal="right" vertical="center"/>
    </xf>
    <xf numFmtId="3" fontId="41" fillId="46" borderId="49" xfId="0" applyNumberFormat="1" applyFont="1" applyFill="1" applyBorder="1" applyAlignment="1">
      <alignment horizontal="right" vertical="center"/>
    </xf>
    <xf numFmtId="3" fontId="52" fillId="46" borderId="0" xfId="0" applyNumberFormat="1" applyFont="1" applyFill="1" applyAlignment="1">
      <alignment horizontal="right"/>
    </xf>
    <xf numFmtId="3" fontId="85" fillId="46" borderId="0" xfId="0" applyNumberFormat="1" applyFont="1" applyFill="1"/>
    <xf numFmtId="0" fontId="71" fillId="46" borderId="49" xfId="44" applyFont="1" applyFill="1" applyBorder="1" applyAlignment="1" applyProtection="1">
      <alignment horizontal="left" vertical="center"/>
    </xf>
    <xf numFmtId="3" fontId="85" fillId="46" borderId="49" xfId="44" applyNumberFormat="1" applyFont="1" applyFill="1" applyBorder="1" applyAlignment="1" applyProtection="1">
      <alignment horizontal="right" vertical="center"/>
    </xf>
    <xf numFmtId="3" fontId="52" fillId="46" borderId="49" xfId="0" applyNumberFormat="1" applyFont="1" applyFill="1" applyBorder="1" applyAlignment="1">
      <alignment horizontal="right" vertical="center"/>
    </xf>
    <xf numFmtId="3" fontId="85" fillId="46" borderId="49" xfId="44" applyNumberFormat="1" applyFont="1" applyFill="1" applyBorder="1" applyAlignment="1">
      <alignment horizontal="right" vertical="center"/>
    </xf>
    <xf numFmtId="3" fontId="52" fillId="46" borderId="0" xfId="45" applyNumberFormat="1" applyFont="1" applyFill="1" applyBorder="1" applyAlignment="1" applyProtection="1">
      <alignment horizontal="right" vertical="center"/>
    </xf>
    <xf numFmtId="3" fontId="85" fillId="46" borderId="0" xfId="45" applyNumberFormat="1" applyFont="1" applyFill="1" applyBorder="1" applyAlignment="1">
      <alignment horizontal="right" vertical="center"/>
    </xf>
    <xf numFmtId="3" fontId="52" fillId="46" borderId="39" xfId="0" applyNumberFormat="1" applyFont="1" applyFill="1" applyBorder="1" applyAlignment="1">
      <alignment horizontal="right" vertical="center"/>
    </xf>
    <xf numFmtId="3" fontId="52" fillId="46" borderId="39" xfId="45" applyNumberFormat="1" applyFont="1" applyFill="1" applyAlignment="1" applyProtection="1">
      <alignment horizontal="right" vertical="center"/>
    </xf>
    <xf numFmtId="0" fontId="86" fillId="46" borderId="0" xfId="44" applyFont="1" applyFill="1" applyBorder="1" applyAlignment="1" applyProtection="1">
      <alignment horizontal="left" vertical="center"/>
    </xf>
    <xf numFmtId="0" fontId="85" fillId="46" borderId="47" xfId="44" applyFont="1" applyFill="1" applyAlignment="1" applyProtection="1">
      <alignment horizontal="right" vertical="center"/>
    </xf>
    <xf numFmtId="0" fontId="52" fillId="46" borderId="0" xfId="0" applyFont="1" applyFill="1" applyAlignment="1">
      <alignment horizontal="right" vertical="center"/>
    </xf>
    <xf numFmtId="3" fontId="52" fillId="46" borderId="49" xfId="0" applyNumberFormat="1" applyFont="1" applyFill="1" applyBorder="1" applyAlignment="1">
      <alignment horizontal="right"/>
    </xf>
    <xf numFmtId="3" fontId="85" fillId="46" borderId="49" xfId="0" applyNumberFormat="1" applyFont="1" applyFill="1" applyBorder="1"/>
    <xf numFmtId="3" fontId="85" fillId="46" borderId="0" xfId="45" applyNumberFormat="1" applyFont="1" applyFill="1" applyBorder="1" applyAlignment="1">
      <alignment horizontal="center" vertical="center"/>
    </xf>
    <xf numFmtId="0" fontId="51" fillId="46" borderId="0" xfId="0" applyFont="1" applyFill="1" applyAlignment="1">
      <alignment horizontal="center" vertical="center"/>
    </xf>
    <xf numFmtId="0" fontId="51" fillId="46" borderId="0" xfId="0" applyFont="1" applyFill="1" applyAlignment="1">
      <alignment vertical="center"/>
    </xf>
    <xf numFmtId="3" fontId="84" fillId="47" borderId="47" xfId="45" applyNumberFormat="1" applyFont="1" applyFill="1" applyBorder="1" applyAlignment="1" applyProtection="1">
      <alignment horizontal="right" vertical="center"/>
    </xf>
    <xf numFmtId="0" fontId="42" fillId="46" borderId="0" xfId="0" applyFont="1" applyFill="1" applyAlignment="1">
      <alignment horizontal="center" vertical="center"/>
    </xf>
    <xf numFmtId="3" fontId="41" fillId="46" borderId="0" xfId="0" applyNumberFormat="1" applyFont="1" applyFill="1" applyAlignment="1">
      <alignment horizontal="right"/>
    </xf>
    <xf numFmtId="3" fontId="84" fillId="46" borderId="0" xfId="0" applyNumberFormat="1" applyFont="1" applyFill="1"/>
    <xf numFmtId="0" fontId="49" fillId="47" borderId="47" xfId="44" applyFont="1" applyFill="1" applyAlignment="1" applyProtection="1">
      <alignment horizontal="left" vertical="center"/>
    </xf>
    <xf numFmtId="3" fontId="84" fillId="47" borderId="47" xfId="45" applyNumberFormat="1" applyFont="1" applyFill="1" applyBorder="1" applyAlignment="1">
      <alignment horizontal="center" vertical="center"/>
    </xf>
    <xf numFmtId="3" fontId="84" fillId="46" borderId="49" xfId="45" applyNumberFormat="1" applyFont="1" applyFill="1" applyBorder="1" applyAlignment="1" applyProtection="1">
      <alignment horizontal="right" vertical="center"/>
    </xf>
    <xf numFmtId="3" fontId="85" fillId="46" borderId="0" xfId="0" applyNumberFormat="1" applyFont="1" applyFill="1" applyAlignment="1">
      <alignment vertical="center"/>
    </xf>
    <xf numFmtId="0" fontId="51" fillId="46" borderId="47" xfId="0" applyFont="1" applyFill="1" applyBorder="1" applyAlignment="1">
      <alignment horizontal="left" vertical="center"/>
    </xf>
    <xf numFmtId="0" fontId="42" fillId="46" borderId="47" xfId="0" applyFont="1" applyFill="1" applyBorder="1" applyAlignment="1">
      <alignment horizontal="center" vertical="center"/>
    </xf>
    <xf numFmtId="0" fontId="49" fillId="46" borderId="0" xfId="44" applyFont="1" applyFill="1" applyBorder="1" applyAlignment="1" applyProtection="1">
      <alignment horizontal="center" vertical="center"/>
    </xf>
    <xf numFmtId="3" fontId="85" fillId="46" borderId="49" xfId="0" applyNumberFormat="1" applyFont="1" applyFill="1" applyBorder="1" applyAlignment="1">
      <alignment vertical="center"/>
    </xf>
    <xf numFmtId="0" fontId="51" fillId="46" borderId="39" xfId="0" applyFont="1" applyFill="1" applyBorder="1" applyAlignment="1">
      <alignment horizontal="left" vertical="center"/>
    </xf>
    <xf numFmtId="3" fontId="85" fillId="46" borderId="39" xfId="44" applyNumberFormat="1" applyFont="1" applyFill="1" applyBorder="1" applyAlignment="1" applyProtection="1">
      <alignment horizontal="right" vertical="center"/>
    </xf>
    <xf numFmtId="3" fontId="85" fillId="46" borderId="39" xfId="0" applyNumberFormat="1" applyFont="1" applyFill="1" applyBorder="1" applyAlignment="1">
      <alignment vertical="center"/>
    </xf>
    <xf numFmtId="0" fontId="86" fillId="46" borderId="0" xfId="44" applyFont="1" applyFill="1" applyBorder="1" applyAlignment="1" applyProtection="1">
      <alignment horizontal="center" vertical="center"/>
    </xf>
    <xf numFmtId="0" fontId="71" fillId="46" borderId="0" xfId="44" applyFont="1" applyFill="1" applyBorder="1" applyAlignment="1" applyProtection="1">
      <alignment horizontal="center" vertical="center"/>
    </xf>
    <xf numFmtId="0" fontId="88" fillId="46" borderId="0" xfId="44" applyFont="1" applyFill="1" applyBorder="1" applyAlignment="1" applyProtection="1">
      <alignment horizontal="center" vertical="center"/>
    </xf>
    <xf numFmtId="3" fontId="52" fillId="47" borderId="47" xfId="0" applyNumberFormat="1" applyFont="1" applyFill="1" applyBorder="1" applyAlignment="1">
      <alignment horizontal="right" vertical="center"/>
    </xf>
    <xf numFmtId="0" fontId="49" fillId="46" borderId="39" xfId="44" applyFont="1" applyFill="1" applyBorder="1" applyAlignment="1" applyProtection="1">
      <alignment horizontal="center" vertical="center"/>
    </xf>
    <xf numFmtId="0" fontId="82" fillId="47" borderId="47" xfId="44" applyFont="1" applyFill="1" applyAlignment="1" applyProtection="1">
      <alignment horizontal="center" vertical="center"/>
    </xf>
    <xf numFmtId="3" fontId="41" fillId="47" borderId="46" xfId="0" applyNumberFormat="1" applyFont="1" applyFill="1" applyBorder="1" applyAlignment="1">
      <alignment horizontal="right" vertical="center"/>
    </xf>
    <xf numFmtId="3" fontId="41" fillId="47" borderId="48" xfId="0" applyNumberFormat="1" applyFont="1" applyFill="1" applyBorder="1" applyAlignment="1">
      <alignment horizontal="right" vertical="center"/>
    </xf>
    <xf numFmtId="3" fontId="84" fillId="47" borderId="48" xfId="0" applyNumberFormat="1" applyFont="1" applyFill="1" applyBorder="1" applyAlignment="1">
      <alignment vertical="center"/>
    </xf>
    <xf numFmtId="0" fontId="82" fillId="46" borderId="0" xfId="44" applyFont="1" applyFill="1" applyBorder="1" applyAlignment="1" applyProtection="1">
      <alignment horizontal="center" vertical="center"/>
    </xf>
    <xf numFmtId="0" fontId="51" fillId="46" borderId="0" xfId="0" applyFont="1" applyFill="1" applyAlignment="1">
      <alignment horizontal="center"/>
    </xf>
    <xf numFmtId="171" fontId="89" fillId="46" borderId="0" xfId="0" applyNumberFormat="1" applyFont="1" applyFill="1" applyAlignment="1">
      <alignment horizontal="right"/>
    </xf>
    <xf numFmtId="0" fontId="53" fillId="46" borderId="0" xfId="0" applyFont="1" applyFill="1" applyAlignment="1">
      <alignment horizontal="right"/>
    </xf>
    <xf numFmtId="3" fontId="51" fillId="46" borderId="0" xfId="45" applyNumberFormat="1" applyFont="1" applyFill="1" applyBorder="1" applyAlignment="1" applyProtection="1">
      <alignment horizontal="right"/>
    </xf>
    <xf numFmtId="0" fontId="45" fillId="46" borderId="0" xfId="0" applyFont="1" applyFill="1"/>
    <xf numFmtId="0" fontId="49" fillId="46" borderId="0" xfId="0" applyFont="1" applyFill="1" applyAlignment="1">
      <alignment horizontal="right"/>
    </xf>
    <xf numFmtId="0" fontId="90" fillId="46" borderId="0" xfId="45" applyFont="1" applyFill="1" applyBorder="1" applyAlignment="1" applyProtection="1">
      <alignment horizontal="right"/>
    </xf>
    <xf numFmtId="0" fontId="72" fillId="46" borderId="0" xfId="45" applyFont="1" applyFill="1" applyBorder="1" applyAlignment="1" applyProtection="1">
      <alignment horizontal="right"/>
    </xf>
    <xf numFmtId="0" fontId="91" fillId="46" borderId="0" xfId="0" applyFont="1" applyFill="1" applyAlignment="1">
      <alignment horizontal="right"/>
    </xf>
    <xf numFmtId="0" fontId="51" fillId="46" borderId="0" xfId="0" applyFont="1" applyFill="1" applyAlignment="1">
      <alignment horizontal="left"/>
    </xf>
    <xf numFmtId="0" fontId="71" fillId="46" borderId="0" xfId="45" applyFont="1" applyFill="1" applyBorder="1" applyAlignment="1" applyProtection="1">
      <alignment horizontal="right"/>
    </xf>
    <xf numFmtId="0" fontId="92" fillId="46" borderId="0" xfId="45" applyFont="1" applyFill="1" applyBorder="1" applyAlignment="1" applyProtection="1">
      <alignment horizontal="right"/>
    </xf>
    <xf numFmtId="0" fontId="53" fillId="46" borderId="0" xfId="0" applyFont="1" applyFill="1"/>
    <xf numFmtId="0" fontId="93" fillId="0" borderId="0" xfId="0" applyFont="1"/>
    <xf numFmtId="0" fontId="53" fillId="46" borderId="0" xfId="0" applyFont="1" applyFill="1" applyAlignment="1">
      <alignment horizontal="left"/>
    </xf>
    <xf numFmtId="0" fontId="42" fillId="46" borderId="0" xfId="0" applyFont="1" applyFill="1" applyAlignment="1">
      <alignment vertical="center"/>
    </xf>
    <xf numFmtId="0" fontId="98" fillId="46" borderId="0" xfId="0" applyFont="1" applyFill="1" applyAlignment="1">
      <alignment horizontal="left" vertical="center"/>
    </xf>
    <xf numFmtId="0" fontId="0" fillId="46" borderId="0" xfId="0" applyFill="1" applyAlignment="1">
      <alignment vertical="center"/>
    </xf>
    <xf numFmtId="0" fontId="0" fillId="46" borderId="0" xfId="0" applyFill="1" applyAlignment="1">
      <alignment horizontal="right" vertical="center"/>
    </xf>
    <xf numFmtId="0" fontId="51" fillId="46" borderId="0" xfId="0" applyFont="1" applyFill="1" applyAlignment="1">
      <alignment horizontal="right" vertical="center"/>
    </xf>
    <xf numFmtId="0" fontId="0" fillId="0" borderId="0" xfId="0" applyAlignment="1">
      <alignment horizontal="right" vertical="center"/>
    </xf>
    <xf numFmtId="0" fontId="79" fillId="0" borderId="0" xfId="0" applyFont="1" applyAlignment="1">
      <alignment vertical="center"/>
    </xf>
    <xf numFmtId="0" fontId="100" fillId="0" borderId="0" xfId="0" applyFont="1" applyAlignment="1">
      <alignment vertical="center"/>
    </xf>
    <xf numFmtId="0" fontId="100" fillId="0" borderId="0" xfId="0" applyFont="1" applyAlignment="1">
      <alignment horizontal="right" vertical="center"/>
    </xf>
    <xf numFmtId="0" fontId="0" fillId="0" borderId="0" xfId="0" applyAlignment="1">
      <alignment horizontal="right"/>
    </xf>
    <xf numFmtId="3" fontId="42" fillId="46" borderId="0" xfId="0" applyNumberFormat="1" applyFont="1" applyFill="1"/>
    <xf numFmtId="168" fontId="25" fillId="33" borderId="0" xfId="43" applyNumberFormat="1" applyFont="1" applyFill="1" applyBorder="1" applyAlignment="1">
      <alignment vertical="center"/>
    </xf>
    <xf numFmtId="9" fontId="25" fillId="33" borderId="0" xfId="43" applyFont="1" applyFill="1" applyBorder="1" applyAlignment="1">
      <alignment vertical="center"/>
    </xf>
    <xf numFmtId="9" fontId="25" fillId="33" borderId="10" xfId="43" applyFont="1" applyFill="1" applyBorder="1" applyAlignment="1">
      <alignment vertical="center"/>
    </xf>
    <xf numFmtId="0" fontId="24" fillId="40" borderId="10" xfId="0" applyFont="1" applyFill="1" applyBorder="1" applyAlignment="1">
      <alignment horizontal="left" vertical="center"/>
    </xf>
    <xf numFmtId="0" fontId="0" fillId="0" borderId="61" xfId="0" applyBorder="1" applyAlignment="1">
      <alignment vertical="center"/>
    </xf>
    <xf numFmtId="0" fontId="0" fillId="0" borderId="61" xfId="0" applyBorder="1" applyAlignment="1">
      <alignment horizontal="left" vertical="center" indent="2"/>
    </xf>
    <xf numFmtId="0" fontId="0" fillId="0" borderId="61" xfId="0" applyBorder="1" applyAlignment="1">
      <alignment vertical="center" wrapText="1"/>
    </xf>
    <xf numFmtId="169" fontId="0" fillId="0" borderId="65" xfId="0" applyNumberFormat="1" applyBorder="1" applyAlignment="1">
      <alignment horizontal="right" vertical="center"/>
    </xf>
    <xf numFmtId="168" fontId="101" fillId="35" borderId="0" xfId="42" applyNumberFormat="1" applyFont="1" applyFill="1" applyBorder="1" applyAlignment="1">
      <alignment horizontal="right" vertical="center"/>
    </xf>
    <xf numFmtId="168" fontId="101" fillId="33" borderId="0" xfId="43" applyNumberFormat="1" applyFont="1" applyFill="1" applyBorder="1" applyAlignment="1">
      <alignment horizontal="right" vertical="center"/>
    </xf>
    <xf numFmtId="9" fontId="101" fillId="33" borderId="10" xfId="43" applyFont="1" applyFill="1" applyBorder="1" applyAlignment="1">
      <alignment horizontal="right" vertical="center"/>
    </xf>
    <xf numFmtId="1" fontId="16" fillId="0" borderId="0" xfId="0" applyNumberFormat="1" applyFont="1"/>
    <xf numFmtId="0" fontId="0" fillId="0" borderId="68" xfId="0" applyBorder="1"/>
    <xf numFmtId="0" fontId="103" fillId="33" borderId="10" xfId="0" applyFont="1" applyFill="1" applyBorder="1" applyAlignment="1">
      <alignment horizontal="center" vertical="center"/>
    </xf>
    <xf numFmtId="0" fontId="104" fillId="33" borderId="13" xfId="0" applyFont="1" applyFill="1" applyBorder="1" applyAlignment="1">
      <alignment horizontal="center" vertical="center"/>
    </xf>
    <xf numFmtId="0" fontId="105" fillId="35" borderId="25" xfId="0" applyFont="1" applyFill="1" applyBorder="1" applyAlignment="1">
      <alignment vertical="center"/>
    </xf>
    <xf numFmtId="168" fontId="106" fillId="35" borderId="25" xfId="42" applyNumberFormat="1" applyFont="1" applyFill="1" applyBorder="1" applyAlignment="1">
      <alignment vertical="center"/>
    </xf>
    <xf numFmtId="0" fontId="107" fillId="33" borderId="0" xfId="0" applyFont="1" applyFill="1" applyAlignment="1">
      <alignment horizontal="left" vertical="center"/>
    </xf>
    <xf numFmtId="168" fontId="106" fillId="35" borderId="0" xfId="42" applyNumberFormat="1" applyFont="1" applyFill="1" applyBorder="1" applyAlignment="1">
      <alignment vertical="center"/>
    </xf>
    <xf numFmtId="168" fontId="108" fillId="33" borderId="0" xfId="43" applyNumberFormat="1" applyFont="1" applyFill="1" applyBorder="1" applyAlignment="1">
      <alignment vertical="center"/>
    </xf>
    <xf numFmtId="9" fontId="108" fillId="33" borderId="0" xfId="43" applyFont="1" applyFill="1" applyBorder="1" applyAlignment="1">
      <alignment vertical="center"/>
    </xf>
    <xf numFmtId="0" fontId="106" fillId="35" borderId="0" xfId="0" applyFont="1" applyFill="1" applyAlignment="1">
      <alignment horizontal="left" vertical="center" indent="2"/>
    </xf>
    <xf numFmtId="0" fontId="105" fillId="35" borderId="0" xfId="0" applyFont="1" applyFill="1" applyAlignment="1">
      <alignment horizontal="left" vertical="center"/>
    </xf>
    <xf numFmtId="0" fontId="107" fillId="33" borderId="10" xfId="0" applyFont="1" applyFill="1" applyBorder="1" applyAlignment="1">
      <alignment horizontal="left" vertical="center"/>
    </xf>
    <xf numFmtId="9" fontId="108" fillId="33" borderId="10" xfId="43" applyFont="1" applyFill="1" applyBorder="1" applyAlignment="1">
      <alignment vertical="center"/>
    </xf>
    <xf numFmtId="166" fontId="0" fillId="0" borderId="0" xfId="0" applyNumberFormat="1"/>
    <xf numFmtId="10" fontId="0" fillId="34" borderId="21" xfId="43" applyNumberFormat="1" applyFont="1" applyFill="1" applyBorder="1"/>
    <xf numFmtId="10" fontId="20" fillId="33" borderId="0" xfId="43" applyNumberFormat="1" applyFont="1" applyFill="1"/>
    <xf numFmtId="43" fontId="20" fillId="33" borderId="0" xfId="0" applyNumberFormat="1" applyFont="1" applyFill="1"/>
    <xf numFmtId="0" fontId="0" fillId="0" borderId="0" xfId="0" applyAlignment="1">
      <alignment horizontal="center"/>
    </xf>
    <xf numFmtId="165" fontId="0" fillId="0" borderId="0" xfId="42" applyNumberFormat="1" applyFont="1"/>
    <xf numFmtId="0" fontId="49" fillId="50" borderId="0" xfId="0" applyFont="1" applyFill="1"/>
    <xf numFmtId="171" fontId="41" fillId="50" borderId="50" xfId="0" applyNumberFormat="1" applyFont="1" applyFill="1" applyBorder="1" applyAlignment="1">
      <alignment horizontal="right"/>
    </xf>
    <xf numFmtId="171" fontId="41" fillId="50" borderId="0" xfId="0" applyNumberFormat="1" applyFont="1" applyFill="1" applyAlignment="1">
      <alignment horizontal="right"/>
    </xf>
    <xf numFmtId="0" fontId="50" fillId="50" borderId="0" xfId="0" applyFont="1" applyFill="1"/>
    <xf numFmtId="0" fontId="51" fillId="50" borderId="0" xfId="0" applyFont="1" applyFill="1"/>
    <xf numFmtId="171" fontId="52" fillId="50" borderId="50" xfId="0" applyNumberFormat="1" applyFont="1" applyFill="1" applyBorder="1" applyAlignment="1">
      <alignment horizontal="right"/>
    </xf>
    <xf numFmtId="171" fontId="52" fillId="50" borderId="0" xfId="0" applyNumberFormat="1" applyFont="1" applyFill="1" applyAlignment="1">
      <alignment horizontal="right"/>
    </xf>
    <xf numFmtId="171" fontId="52" fillId="50" borderId="0" xfId="42" applyNumberFormat="1" applyFont="1" applyFill="1" applyAlignment="1">
      <alignment horizontal="right"/>
    </xf>
    <xf numFmtId="171" fontId="52" fillId="50" borderId="0" xfId="0" applyNumberFormat="1" applyFont="1" applyFill="1"/>
    <xf numFmtId="171" fontId="52" fillId="50" borderId="50" xfId="0" applyNumberFormat="1" applyFont="1" applyFill="1" applyBorder="1"/>
    <xf numFmtId="171" fontId="41" fillId="50" borderId="49" xfId="0" applyNumberFormat="1" applyFont="1" applyFill="1" applyBorder="1" applyAlignment="1">
      <alignment horizontal="right"/>
    </xf>
    <xf numFmtId="165" fontId="0" fillId="33" borderId="0" xfId="42" applyNumberFormat="1" applyFont="1" applyFill="1"/>
    <xf numFmtId="3" fontId="17" fillId="33" borderId="0" xfId="0" applyNumberFormat="1" applyFont="1" applyFill="1"/>
    <xf numFmtId="0" fontId="29" fillId="33" borderId="0" xfId="0" applyFont="1" applyFill="1" applyAlignment="1">
      <alignment vertical="center"/>
    </xf>
    <xf numFmtId="0" fontId="21" fillId="33" borderId="0" xfId="0" applyFont="1" applyFill="1" applyAlignment="1">
      <alignment vertical="center"/>
    </xf>
    <xf numFmtId="0" fontId="109" fillId="33" borderId="0" xfId="0" applyFont="1" applyFill="1"/>
    <xf numFmtId="49" fontId="110" fillId="51" borderId="69" xfId="0" applyNumberFormat="1" applyFont="1" applyFill="1" applyBorder="1" applyAlignment="1">
      <alignment horizontal="center" vertical="center"/>
    </xf>
    <xf numFmtId="49" fontId="111" fillId="51" borderId="69" xfId="0" applyNumberFormat="1" applyFont="1" applyFill="1" applyBorder="1" applyAlignment="1">
      <alignment horizontal="center" vertical="center"/>
    </xf>
    <xf numFmtId="49" fontId="111" fillId="52" borderId="69" xfId="0" applyNumberFormat="1" applyFont="1" applyFill="1" applyBorder="1" applyAlignment="1">
      <alignment horizontal="center" vertical="center"/>
    </xf>
    <xf numFmtId="43" fontId="0" fillId="0" borderId="0" xfId="42" applyFont="1"/>
    <xf numFmtId="43" fontId="0" fillId="0" borderId="0" xfId="42" applyFont="1" applyBorder="1"/>
    <xf numFmtId="0" fontId="20" fillId="33" borderId="12" xfId="0" applyFont="1" applyFill="1" applyBorder="1" applyAlignment="1">
      <alignment horizontal="center" vertical="center" textRotation="90"/>
    </xf>
    <xf numFmtId="0" fontId="20" fillId="33" borderId="0" xfId="0" applyFont="1" applyFill="1" applyAlignment="1">
      <alignment horizontal="center" vertical="center" textRotation="90"/>
    </xf>
    <xf numFmtId="0" fontId="20" fillId="33" borderId="26" xfId="0" applyFont="1" applyFill="1" applyBorder="1" applyAlignment="1">
      <alignment horizontal="center" vertical="center" textRotation="90"/>
    </xf>
    <xf numFmtId="0" fontId="20" fillId="33" borderId="10" xfId="0" applyFont="1" applyFill="1" applyBorder="1" applyAlignment="1">
      <alignment horizontal="center" vertical="center" textRotation="90"/>
    </xf>
    <xf numFmtId="0" fontId="27" fillId="33" borderId="10" xfId="0" applyFont="1" applyFill="1" applyBorder="1" applyAlignment="1">
      <alignment horizontal="left" vertical="center" wrapText="1"/>
    </xf>
    <xf numFmtId="0" fontId="27" fillId="33" borderId="10" xfId="0" applyFont="1" applyFill="1" applyBorder="1" applyAlignment="1">
      <alignment horizontal="left" vertical="center"/>
    </xf>
    <xf numFmtId="0" fontId="0" fillId="0" borderId="38" xfId="0" applyBorder="1" applyAlignment="1">
      <alignment horizontal="center"/>
    </xf>
    <xf numFmtId="0" fontId="0" fillId="0" borderId="36" xfId="0" applyBorder="1" applyAlignment="1">
      <alignment horizontal="center"/>
    </xf>
    <xf numFmtId="0" fontId="0" fillId="0" borderId="37" xfId="0" applyBorder="1" applyAlignment="1">
      <alignment horizontal="center"/>
    </xf>
    <xf numFmtId="0" fontId="0" fillId="0" borderId="18" xfId="0" applyBorder="1" applyAlignment="1">
      <alignment horizontal="center" textRotation="45"/>
    </xf>
    <xf numFmtId="0" fontId="0" fillId="0" borderId="0" xfId="0" applyAlignment="1">
      <alignment horizontal="center" textRotation="45"/>
    </xf>
    <xf numFmtId="0" fontId="0" fillId="0" borderId="10" xfId="0" applyBorder="1" applyAlignment="1">
      <alignment horizontal="center" textRotation="45"/>
    </xf>
    <xf numFmtId="0" fontId="0" fillId="0" borderId="23" xfId="0" applyBorder="1" applyAlignment="1">
      <alignment horizontal="center" textRotation="45"/>
    </xf>
    <xf numFmtId="0" fontId="0" fillId="0" borderId="0" xfId="0" applyAlignment="1">
      <alignment horizontal="center"/>
    </xf>
    <xf numFmtId="0" fontId="0" fillId="0" borderId="35" xfId="0" applyBorder="1" applyAlignment="1">
      <alignment horizontal="center"/>
    </xf>
    <xf numFmtId="0" fontId="0" fillId="34" borderId="18" xfId="0" applyFill="1" applyBorder="1" applyAlignment="1">
      <alignment horizontal="center"/>
    </xf>
    <xf numFmtId="0" fontId="0" fillId="34" borderId="19" xfId="0" applyFill="1" applyBorder="1" applyAlignment="1">
      <alignment horizontal="center"/>
    </xf>
    <xf numFmtId="0" fontId="0" fillId="0" borderId="27" xfId="0" applyBorder="1" applyAlignment="1">
      <alignment horizontal="center" vertical="center"/>
    </xf>
    <xf numFmtId="0" fontId="0" fillId="38" borderId="18" xfId="0" applyFill="1" applyBorder="1" applyAlignment="1">
      <alignment horizontal="center" vertical="center"/>
    </xf>
    <xf numFmtId="0" fontId="0" fillId="38" borderId="19" xfId="0" applyFill="1" applyBorder="1" applyAlignment="1">
      <alignment horizontal="center" vertical="center"/>
    </xf>
    <xf numFmtId="0" fontId="0" fillId="39" borderId="0" xfId="0" applyFill="1" applyAlignment="1">
      <alignment horizontal="center"/>
    </xf>
    <xf numFmtId="0" fontId="16" fillId="0" borderId="20" xfId="0" applyFont="1" applyBorder="1" applyAlignment="1">
      <alignment horizontal="center" vertical="center" wrapText="1"/>
    </xf>
    <xf numFmtId="0" fontId="0" fillId="0" borderId="22" xfId="0" applyBorder="1" applyAlignment="1">
      <alignment horizontal="center" wrapText="1"/>
    </xf>
    <xf numFmtId="0" fontId="0" fillId="0" borderId="23" xfId="0" applyBorder="1" applyAlignment="1">
      <alignment horizontal="center" wrapText="1"/>
    </xf>
    <xf numFmtId="0" fontId="16" fillId="33" borderId="20" xfId="0" applyFont="1" applyFill="1" applyBorder="1" applyAlignment="1">
      <alignment horizontal="center" vertical="center"/>
    </xf>
    <xf numFmtId="0" fontId="16" fillId="33" borderId="22" xfId="0" applyFont="1" applyFill="1" applyBorder="1" applyAlignment="1">
      <alignment horizontal="center" vertical="center"/>
    </xf>
    <xf numFmtId="0" fontId="16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20" fillId="33" borderId="11" xfId="0" applyFont="1" applyFill="1" applyBorder="1" applyAlignment="1">
      <alignment horizontal="center"/>
    </xf>
    <xf numFmtId="0" fontId="20" fillId="39" borderId="11" xfId="0" applyFont="1" applyFill="1" applyBorder="1" applyAlignment="1">
      <alignment horizontal="center"/>
    </xf>
    <xf numFmtId="0" fontId="35" fillId="33" borderId="0" xfId="0" applyFont="1" applyFill="1" applyAlignment="1">
      <alignment horizontal="center"/>
    </xf>
    <xf numFmtId="0" fontId="21" fillId="34" borderId="11" xfId="0" applyFont="1" applyFill="1" applyBorder="1" applyAlignment="1">
      <alignment horizontal="center"/>
    </xf>
    <xf numFmtId="0" fontId="16" fillId="38" borderId="62" xfId="0" applyFont="1" applyFill="1" applyBorder="1" applyAlignment="1">
      <alignment horizontal="center" vertical="center" wrapText="1"/>
    </xf>
    <xf numFmtId="0" fontId="16" fillId="38" borderId="63" xfId="0" applyFont="1" applyFill="1" applyBorder="1" applyAlignment="1">
      <alignment horizontal="center" vertical="center" wrapText="1"/>
    </xf>
    <xf numFmtId="0" fontId="16" fillId="38" borderId="64" xfId="0" applyFont="1" applyFill="1" applyBorder="1" applyAlignment="1">
      <alignment horizontal="center" vertical="center" wrapText="1"/>
    </xf>
    <xf numFmtId="0" fontId="0" fillId="0" borderId="67" xfId="0" applyBorder="1" applyAlignment="1">
      <alignment horizontal="center" vertical="center"/>
    </xf>
    <xf numFmtId="0" fontId="25" fillId="33" borderId="12" xfId="0" applyFont="1" applyFill="1" applyBorder="1" applyAlignment="1">
      <alignment horizontal="left" vertical="center" wrapText="1"/>
    </xf>
    <xf numFmtId="171" fontId="41" fillId="47" borderId="41" xfId="0" applyNumberFormat="1" applyFont="1" applyFill="1" applyBorder="1" applyAlignment="1">
      <alignment horizontal="center" vertical="center"/>
    </xf>
    <xf numFmtId="171" fontId="49" fillId="47" borderId="41" xfId="0" applyNumberFormat="1" applyFont="1" applyFill="1" applyBorder="1" applyAlignment="1">
      <alignment horizontal="center" vertical="center"/>
    </xf>
    <xf numFmtId="0" fontId="41" fillId="47" borderId="49" xfId="0" applyFont="1" applyFill="1" applyBorder="1" applyAlignment="1">
      <alignment horizontal="center" vertical="center"/>
    </xf>
    <xf numFmtId="0" fontId="41" fillId="47" borderId="48" xfId="0" applyFont="1" applyFill="1" applyBorder="1" applyAlignment="1">
      <alignment horizontal="center" vertical="center"/>
    </xf>
    <xf numFmtId="0" fontId="63" fillId="38" borderId="60" xfId="0" applyFont="1" applyFill="1" applyBorder="1" applyAlignment="1">
      <alignment vertical="center" wrapText="1"/>
    </xf>
    <xf numFmtId="0" fontId="64" fillId="38" borderId="60" xfId="0" applyFont="1" applyFill="1" applyBorder="1" applyAlignment="1">
      <alignment vertical="center" wrapText="1"/>
    </xf>
    <xf numFmtId="0" fontId="65" fillId="38" borderId="0" xfId="0" applyFont="1" applyFill="1" applyAlignment="1">
      <alignment horizontal="center" vertical="center" wrapText="1"/>
    </xf>
    <xf numFmtId="0" fontId="73" fillId="38" borderId="0" xfId="0" applyFont="1" applyFill="1" applyAlignment="1">
      <alignment vertical="center" wrapText="1"/>
    </xf>
    <xf numFmtId="0" fontId="63" fillId="38" borderId="0" xfId="0" applyFont="1" applyFill="1" applyAlignment="1">
      <alignment vertical="center" wrapText="1"/>
    </xf>
    <xf numFmtId="0" fontId="63" fillId="38" borderId="53" xfId="0" applyFont="1" applyFill="1" applyBorder="1" applyAlignment="1">
      <alignment vertical="center" wrapText="1"/>
    </xf>
    <xf numFmtId="0" fontId="65" fillId="38" borderId="53" xfId="0" applyFont="1" applyFill="1" applyBorder="1" applyAlignment="1">
      <alignment horizontal="center" vertical="center" wrapText="1"/>
    </xf>
    <xf numFmtId="0" fontId="65" fillId="38" borderId="0" xfId="0" applyFont="1" applyFill="1" applyAlignment="1">
      <alignment vertical="center" wrapText="1"/>
    </xf>
    <xf numFmtId="0" fontId="65" fillId="38" borderId="53" xfId="0" applyFont="1" applyFill="1" applyBorder="1" applyAlignment="1">
      <alignment vertical="center" wrapText="1"/>
    </xf>
    <xf numFmtId="0" fontId="65" fillId="38" borderId="53" xfId="0" applyFont="1" applyFill="1" applyBorder="1" applyAlignment="1">
      <alignment horizontal="left" vertical="center" wrapText="1" indent="2"/>
    </xf>
    <xf numFmtId="0" fontId="65" fillId="38" borderId="0" xfId="0" applyFont="1" applyFill="1" applyAlignment="1">
      <alignment horizontal="left" vertical="center" wrapText="1" indent="2"/>
    </xf>
    <xf numFmtId="0" fontId="65" fillId="38" borderId="0" xfId="0" applyFont="1" applyFill="1" applyAlignment="1">
      <alignment horizontal="left" vertical="center" wrapText="1" indent="3"/>
    </xf>
    <xf numFmtId="174" fontId="75" fillId="38" borderId="47" xfId="0" applyNumberFormat="1" applyFont="1" applyFill="1" applyBorder="1" applyAlignment="1">
      <alignment horizontal="center" vertical="top" wrapText="1"/>
    </xf>
    <xf numFmtId="174" fontId="75" fillId="38" borderId="45" xfId="0" applyNumberFormat="1" applyFont="1" applyFill="1" applyBorder="1" applyAlignment="1">
      <alignment horizontal="center" vertical="top" wrapText="1"/>
    </xf>
    <xf numFmtId="0" fontId="74" fillId="36" borderId="47" xfId="0" applyFont="1" applyFill="1" applyBorder="1" applyAlignment="1">
      <alignment horizontal="center" vertical="top" wrapText="1"/>
    </xf>
    <xf numFmtId="0" fontId="74" fillId="36" borderId="45" xfId="0" applyFont="1" applyFill="1" applyBorder="1" applyAlignment="1">
      <alignment horizontal="center" vertical="top" wrapText="1"/>
    </xf>
    <xf numFmtId="174" fontId="75" fillId="36" borderId="47" xfId="0" applyNumberFormat="1" applyFont="1" applyFill="1" applyBorder="1" applyAlignment="1">
      <alignment horizontal="center" vertical="top" wrapText="1"/>
    </xf>
    <xf numFmtId="174" fontId="75" fillId="36" borderId="45" xfId="0" applyNumberFormat="1" applyFont="1" applyFill="1" applyBorder="1" applyAlignment="1">
      <alignment horizontal="center" vertical="top" wrapText="1"/>
    </xf>
    <xf numFmtId="0" fontId="74" fillId="38" borderId="47" xfId="0" applyFont="1" applyFill="1" applyBorder="1" applyAlignment="1">
      <alignment horizontal="center" vertical="top" wrapText="1"/>
    </xf>
    <xf numFmtId="0" fontId="74" fillId="38" borderId="45" xfId="0" applyFont="1" applyFill="1" applyBorder="1" applyAlignment="1">
      <alignment horizontal="center" vertical="top" wrapText="1"/>
    </xf>
    <xf numFmtId="174" fontId="32" fillId="36" borderId="0" xfId="0" applyNumberFormat="1" applyFont="1" applyFill="1" applyAlignment="1">
      <alignment horizontal="center" vertical="top" wrapText="1"/>
    </xf>
    <xf numFmtId="0" fontId="67" fillId="38" borderId="0" xfId="0" applyFont="1" applyFill="1" applyAlignment="1">
      <alignment horizontal="left" vertical="top" wrapText="1"/>
    </xf>
    <xf numFmtId="174" fontId="32" fillId="38" borderId="0" xfId="0" applyNumberFormat="1" applyFont="1" applyFill="1" applyAlignment="1">
      <alignment horizontal="center" vertical="top" wrapText="1"/>
    </xf>
    <xf numFmtId="174" fontId="75" fillId="36" borderId="48" xfId="0" applyNumberFormat="1" applyFont="1" applyFill="1" applyBorder="1" applyAlignment="1">
      <alignment horizontal="center" vertical="top" wrapText="1"/>
    </xf>
    <xf numFmtId="174" fontId="70" fillId="36" borderId="0" xfId="0" applyNumberFormat="1" applyFont="1" applyFill="1" applyAlignment="1">
      <alignment horizontal="center" vertical="top" wrapText="1"/>
    </xf>
    <xf numFmtId="0" fontId="69" fillId="38" borderId="0" xfId="0" applyFont="1" applyFill="1" applyAlignment="1">
      <alignment horizontal="left" vertical="top" wrapText="1"/>
    </xf>
    <xf numFmtId="174" fontId="70" fillId="38" borderId="0" xfId="0" applyNumberFormat="1" applyFont="1" applyFill="1" applyAlignment="1">
      <alignment horizontal="center" vertical="top" wrapText="1"/>
    </xf>
    <xf numFmtId="174" fontId="19" fillId="36" borderId="47" xfId="0" applyNumberFormat="1" applyFont="1" applyFill="1" applyBorder="1" applyAlignment="1">
      <alignment horizontal="center" vertical="top" wrapText="1"/>
    </xf>
    <xf numFmtId="174" fontId="19" fillId="36" borderId="45" xfId="0" applyNumberFormat="1" applyFont="1" applyFill="1" applyBorder="1" applyAlignment="1">
      <alignment horizontal="center" vertical="top" wrapText="1"/>
    </xf>
    <xf numFmtId="0" fontId="76" fillId="38" borderId="47" xfId="0" applyFont="1" applyFill="1" applyBorder="1" applyAlignment="1">
      <alignment horizontal="center" vertical="top" wrapText="1"/>
    </xf>
    <xf numFmtId="0" fontId="76" fillId="38" borderId="45" xfId="0" applyFont="1" applyFill="1" applyBorder="1" applyAlignment="1">
      <alignment horizontal="center" vertical="top" wrapText="1"/>
    </xf>
    <xf numFmtId="0" fontId="67" fillId="36" borderId="0" xfId="0" applyFont="1" applyFill="1" applyAlignment="1">
      <alignment horizontal="left" vertical="top" wrapText="1"/>
    </xf>
    <xf numFmtId="0" fontId="76" fillId="36" borderId="47" xfId="0" applyFont="1" applyFill="1" applyBorder="1" applyAlignment="1">
      <alignment horizontal="center" vertical="top" wrapText="1"/>
    </xf>
    <xf numFmtId="0" fontId="76" fillId="36" borderId="45" xfId="0" applyFont="1" applyFill="1" applyBorder="1" applyAlignment="1">
      <alignment horizontal="center" vertical="top" wrapText="1"/>
    </xf>
    <xf numFmtId="176" fontId="70" fillId="38" borderId="0" xfId="0" applyNumberFormat="1" applyFont="1" applyFill="1" applyAlignment="1">
      <alignment horizontal="left" vertical="top" wrapText="1"/>
    </xf>
    <xf numFmtId="0" fontId="69" fillId="36" borderId="0" xfId="0" applyFont="1" applyFill="1" applyAlignment="1">
      <alignment horizontal="left" vertical="top" wrapText="1"/>
    </xf>
    <xf numFmtId="174" fontId="70" fillId="36" borderId="39" xfId="0" applyNumberFormat="1" applyFont="1" applyFill="1" applyBorder="1" applyAlignment="1">
      <alignment horizontal="center" vertical="top" wrapText="1"/>
    </xf>
    <xf numFmtId="0" fontId="69" fillId="36" borderId="39" xfId="0" applyFont="1" applyFill="1" applyBorder="1" applyAlignment="1">
      <alignment horizontal="left" vertical="top" wrapText="1"/>
    </xf>
    <xf numFmtId="174" fontId="32" fillId="36" borderId="0" xfId="0" applyNumberFormat="1" applyFont="1" applyFill="1" applyAlignment="1">
      <alignment horizontal="center" vertical="center" wrapText="1"/>
    </xf>
    <xf numFmtId="174" fontId="32" fillId="38" borderId="0" xfId="0" applyNumberFormat="1" applyFont="1" applyFill="1" applyAlignment="1">
      <alignment horizontal="center" vertical="center" wrapText="1"/>
    </xf>
    <xf numFmtId="175" fontId="70" fillId="38" borderId="0" xfId="0" applyNumberFormat="1" applyFont="1" applyFill="1" applyAlignment="1">
      <alignment horizontal="left" vertical="top" wrapText="1"/>
    </xf>
    <xf numFmtId="0" fontId="65" fillId="38" borderId="54" xfId="0" applyFont="1" applyFill="1" applyBorder="1" applyAlignment="1">
      <alignment horizontal="center" vertical="center" wrapText="1"/>
    </xf>
    <xf numFmtId="174" fontId="70" fillId="36" borderId="56" xfId="0" applyNumberFormat="1" applyFont="1" applyFill="1" applyBorder="1" applyAlignment="1">
      <alignment horizontal="center" vertical="center" wrapText="1"/>
    </xf>
    <xf numFmtId="174" fontId="70" fillId="36" borderId="56" xfId="0" applyNumberFormat="1" applyFont="1" applyFill="1" applyBorder="1" applyAlignment="1">
      <alignment horizontal="center" vertical="top" wrapText="1"/>
    </xf>
    <xf numFmtId="174" fontId="32" fillId="36" borderId="56" xfId="0" applyNumberFormat="1" applyFont="1" applyFill="1" applyBorder="1" applyAlignment="1">
      <alignment horizontal="center" vertical="center" wrapText="1"/>
    </xf>
    <xf numFmtId="174" fontId="32" fillId="36" borderId="56" xfId="0" applyNumberFormat="1" applyFont="1" applyFill="1" applyBorder="1" applyAlignment="1">
      <alignment horizontal="center" vertical="top" wrapText="1"/>
    </xf>
    <xf numFmtId="174" fontId="32" fillId="38" borderId="56" xfId="0" applyNumberFormat="1" applyFont="1" applyFill="1" applyBorder="1" applyAlignment="1">
      <alignment horizontal="center" vertical="center" wrapText="1"/>
    </xf>
    <xf numFmtId="0" fontId="64" fillId="36" borderId="54" xfId="0" applyFont="1" applyFill="1" applyBorder="1" applyAlignment="1">
      <alignment horizontal="left" vertical="center" wrapText="1" indent="2"/>
    </xf>
    <xf numFmtId="0" fontId="64" fillId="36" borderId="0" xfId="0" applyFont="1" applyFill="1" applyAlignment="1">
      <alignment horizontal="left" vertical="center" wrapText="1" indent="2"/>
    </xf>
    <xf numFmtId="0" fontId="64" fillId="36" borderId="53" xfId="0" applyFont="1" applyFill="1" applyBorder="1" applyAlignment="1">
      <alignment horizontal="left" vertical="center" wrapText="1" indent="2"/>
    </xf>
    <xf numFmtId="0" fontId="64" fillId="36" borderId="0" xfId="0" applyFont="1" applyFill="1" applyAlignment="1">
      <alignment horizontal="center" vertical="center" wrapText="1"/>
    </xf>
    <xf numFmtId="0" fontId="64" fillId="38" borderId="0" xfId="0" applyFont="1" applyFill="1" applyAlignment="1">
      <alignment horizontal="center" vertical="center" wrapText="1"/>
    </xf>
    <xf numFmtId="174" fontId="70" fillId="38" borderId="56" xfId="0" applyNumberFormat="1" applyFont="1" applyFill="1" applyBorder="1" applyAlignment="1">
      <alignment horizontal="center" vertical="center" wrapText="1"/>
    </xf>
    <xf numFmtId="174" fontId="70" fillId="38" borderId="56" xfId="0" applyNumberFormat="1" applyFont="1" applyFill="1" applyBorder="1" applyAlignment="1">
      <alignment horizontal="center" vertical="top" wrapText="1"/>
    </xf>
    <xf numFmtId="0" fontId="65" fillId="38" borderId="54" xfId="0" applyFont="1" applyFill="1" applyBorder="1" applyAlignment="1">
      <alignment vertical="center" wrapText="1"/>
    </xf>
    <xf numFmtId="0" fontId="63" fillId="38" borderId="54" xfId="0" applyFont="1" applyFill="1" applyBorder="1" applyAlignment="1">
      <alignment vertical="center" wrapText="1"/>
    </xf>
    <xf numFmtId="0" fontId="64" fillId="38" borderId="0" xfId="0" applyFont="1" applyFill="1" applyAlignment="1">
      <alignment vertical="center" wrapText="1"/>
    </xf>
    <xf numFmtId="0" fontId="64" fillId="38" borderId="53" xfId="0" applyFont="1" applyFill="1" applyBorder="1" applyAlignment="1">
      <alignment vertical="center" wrapText="1"/>
    </xf>
    <xf numFmtId="0" fontId="64" fillId="38" borderId="54" xfId="0" applyFont="1" applyFill="1" applyBorder="1" applyAlignment="1">
      <alignment horizontal="left" vertical="center" wrapText="1" indent="3"/>
    </xf>
    <xf numFmtId="0" fontId="64" fillId="38" borderId="0" xfId="0" applyFont="1" applyFill="1" applyAlignment="1">
      <alignment horizontal="left" vertical="center" wrapText="1" indent="3"/>
    </xf>
    <xf numFmtId="0" fontId="64" fillId="38" borderId="53" xfId="0" applyFont="1" applyFill="1" applyBorder="1" applyAlignment="1">
      <alignment horizontal="left" vertical="center" wrapText="1" indent="3"/>
    </xf>
    <xf numFmtId="0" fontId="64" fillId="38" borderId="54" xfId="0" applyFont="1" applyFill="1" applyBorder="1" applyAlignment="1">
      <alignment horizontal="left" vertical="center" wrapText="1" indent="2"/>
    </xf>
    <xf numFmtId="0" fontId="64" fillId="38" borderId="0" xfId="0" applyFont="1" applyFill="1" applyAlignment="1">
      <alignment horizontal="left" vertical="center" wrapText="1" indent="2"/>
    </xf>
    <xf numFmtId="0" fontId="64" fillId="38" borderId="53" xfId="0" applyFont="1" applyFill="1" applyBorder="1" applyAlignment="1">
      <alignment horizontal="left" vertical="center" wrapText="1" indent="2"/>
    </xf>
    <xf numFmtId="0" fontId="69" fillId="38" borderId="49" xfId="0" applyFont="1" applyFill="1" applyBorder="1" applyAlignment="1">
      <alignment horizontal="left" vertical="top" wrapText="1"/>
    </xf>
    <xf numFmtId="174" fontId="70" fillId="38" borderId="49" xfId="0" applyNumberFormat="1" applyFont="1" applyFill="1" applyBorder="1" applyAlignment="1">
      <alignment horizontal="center" vertical="top" wrapText="1"/>
    </xf>
    <xf numFmtId="0" fontId="64" fillId="36" borderId="55" xfId="0" applyFont="1" applyFill="1" applyBorder="1" applyAlignment="1">
      <alignment horizontal="center" vertical="center" wrapText="1"/>
    </xf>
    <xf numFmtId="0" fontId="49" fillId="48" borderId="46" xfId="0" applyFont="1" applyFill="1" applyBorder="1" applyAlignment="1">
      <alignment horizontal="center" vertical="center"/>
    </xf>
    <xf numFmtId="0" fontId="49" fillId="48" borderId="46" xfId="0" applyFont="1" applyFill="1" applyBorder="1" applyAlignment="1">
      <alignment horizontal="center" vertical="center" wrapText="1"/>
    </xf>
    <xf numFmtId="0" fontId="49" fillId="48" borderId="48" xfId="0" applyFont="1" applyFill="1" applyBorder="1" applyAlignment="1">
      <alignment horizontal="center" vertical="center" wrapText="1"/>
    </xf>
    <xf numFmtId="0" fontId="49" fillId="49" borderId="46" xfId="0" applyFont="1" applyFill="1" applyBorder="1" applyAlignment="1">
      <alignment horizontal="center" vertical="center"/>
    </xf>
    <xf numFmtId="0" fontId="49" fillId="48" borderId="48" xfId="0" applyFont="1" applyFill="1" applyBorder="1" applyAlignment="1">
      <alignment horizontal="center" vertical="center"/>
    </xf>
    <xf numFmtId="0" fontId="49" fillId="49" borderId="46" xfId="0" applyFont="1" applyFill="1" applyBorder="1" applyAlignment="1">
      <alignment horizontal="center" vertical="center" wrapText="1"/>
    </xf>
    <xf numFmtId="0" fontId="49" fillId="48" borderId="45" xfId="0" applyFont="1" applyFill="1" applyBorder="1" applyAlignment="1">
      <alignment horizontal="center" vertical="center" wrapText="1"/>
    </xf>
    <xf numFmtId="0" fontId="49" fillId="49" borderId="48" xfId="0" applyFont="1" applyFill="1" applyBorder="1" applyAlignment="1">
      <alignment horizontal="center" vertical="center"/>
    </xf>
    <xf numFmtId="0" fontId="49" fillId="49" borderId="48" xfId="0" applyFont="1" applyFill="1" applyBorder="1" applyAlignment="1">
      <alignment horizontal="center" vertical="center" wrapText="1"/>
    </xf>
    <xf numFmtId="0" fontId="0" fillId="38" borderId="0" xfId="0" applyFill="1" applyAlignment="1">
      <alignment horizontal="center"/>
    </xf>
    <xf numFmtId="0" fontId="0" fillId="38" borderId="53" xfId="0" applyFill="1" applyBorder="1" applyAlignment="1">
      <alignment horizontal="center"/>
    </xf>
    <xf numFmtId="0" fontId="0" fillId="36" borderId="0" xfId="0" applyFill="1" applyAlignment="1">
      <alignment horizontal="center"/>
    </xf>
    <xf numFmtId="0" fontId="0" fillId="36" borderId="53" xfId="0" applyFill="1" applyBorder="1" applyAlignment="1">
      <alignment horizontal="center"/>
    </xf>
    <xf numFmtId="17" fontId="0" fillId="38" borderId="0" xfId="0" applyNumberFormat="1" applyFill="1" applyAlignment="1">
      <alignment horizontal="center"/>
    </xf>
    <xf numFmtId="17" fontId="0" fillId="36" borderId="0" xfId="0" applyNumberFormat="1" applyFill="1" applyAlignment="1">
      <alignment horizontal="center"/>
    </xf>
    <xf numFmtId="0" fontId="62" fillId="36" borderId="0" xfId="0" applyFont="1" applyFill="1" applyAlignment="1">
      <alignment horizontal="left" vertical="center"/>
    </xf>
    <xf numFmtId="0" fontId="62" fillId="38" borderId="0" xfId="0" applyFont="1" applyFill="1" applyAlignment="1">
      <alignment horizontal="left" vertical="center"/>
    </xf>
    <xf numFmtId="0" fontId="49" fillId="46" borderId="49" xfId="44" applyFont="1" applyFill="1" applyBorder="1" applyAlignment="1" applyProtection="1">
      <alignment horizontal="left" vertical="center" wrapText="1"/>
    </xf>
    <xf numFmtId="0" fontId="49" fillId="46" borderId="0" xfId="44" applyFont="1" applyFill="1" applyBorder="1" applyAlignment="1" applyProtection="1">
      <alignment horizontal="left" vertical="center" wrapText="1"/>
    </xf>
    <xf numFmtId="0" fontId="51" fillId="46" borderId="0" xfId="0" applyFont="1" applyFill="1" applyAlignment="1">
      <alignment horizontal="left" vertical="center"/>
    </xf>
    <xf numFmtId="0" fontId="93" fillId="46" borderId="0" xfId="0" applyFont="1" applyFill="1" applyAlignment="1">
      <alignment horizontal="left" vertical="center" wrapText="1"/>
    </xf>
  </cellXfs>
  <cellStyles count="46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Jr_Normal" xfId="45" xr:uid="{00000000-0005-0000-0000-00001E000000}"/>
    <cellStyle name="Leg_It_1" xfId="44" xr:uid="{00000000-0005-0000-0000-00001F000000}"/>
    <cellStyle name="Neutro" xfId="8" builtinId="28" customBuiltin="1"/>
    <cellStyle name="Normal" xfId="0" builtinId="0"/>
    <cellStyle name="Nota" xfId="15" builtinId="10" customBuiltin="1"/>
    <cellStyle name="Porcentagem" xfId="43" builtinId="5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  <cellStyle name="Vírgula" xfId="42" builtinId="3"/>
  </cellStyles>
  <dxfs count="0"/>
  <tableStyles count="0" defaultTableStyle="TableStyleMedium2" defaultPivotStyle="PivotStyleLight16"/>
  <colors>
    <mruColors>
      <color rgb="FF5BA7AC"/>
      <color rgb="FFF2F2F2"/>
      <color rgb="FF33CCCC"/>
      <color rgb="FF008080"/>
      <color rgb="FF009999"/>
      <color rgb="FF898B81"/>
      <color rgb="FFFFFFCC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41"/>
  <sheetViews>
    <sheetView showGridLines="0" tabSelected="1" workbookViewId="0">
      <pane xSplit="7" ySplit="1" topLeftCell="H113" activePane="bottomRight" state="frozen"/>
      <selection pane="topRight" activeCell="I1" sqref="I1"/>
      <selection pane="bottomLeft" activeCell="A2" sqref="A2"/>
      <selection pane="bottomRight" activeCell="F6" sqref="F6"/>
    </sheetView>
  </sheetViews>
  <sheetFormatPr defaultRowHeight="15"/>
  <cols>
    <col min="1" max="1" width="14" style="579" customWidth="1"/>
    <col min="2" max="2" width="18.140625" customWidth="1"/>
    <col min="3" max="3" width="9" style="579" customWidth="1"/>
    <col min="4" max="4" width="19.5703125" customWidth="1"/>
    <col min="5" max="5" width="17.28515625" style="579" bestFit="1" customWidth="1"/>
    <col min="6" max="6" width="20" style="579" bestFit="1" customWidth="1"/>
    <col min="7" max="7" width="47" style="579" bestFit="1" customWidth="1"/>
    <col min="8" max="14" width="18" bestFit="1" customWidth="1"/>
    <col min="15" max="20" width="19" bestFit="1" customWidth="1"/>
    <col min="21" max="21" width="19" style="600" bestFit="1" customWidth="1"/>
    <col min="22" max="22" width="14.28515625" bestFit="1" customWidth="1"/>
  </cols>
  <sheetData>
    <row r="1" spans="1:21" s="1" customFormat="1" ht="15.75" customHeight="1">
      <c r="A1" s="597" t="s">
        <v>285</v>
      </c>
      <c r="B1" s="597" t="s">
        <v>544</v>
      </c>
      <c r="C1" s="597" t="s">
        <v>286</v>
      </c>
      <c r="D1" s="597" t="s">
        <v>545</v>
      </c>
      <c r="E1" s="597" t="s">
        <v>287</v>
      </c>
      <c r="F1" s="598" t="s">
        <v>546</v>
      </c>
      <c r="G1" s="598" t="s">
        <v>288</v>
      </c>
      <c r="H1" s="599">
        <v>2002</v>
      </c>
      <c r="I1" s="599">
        <v>2003</v>
      </c>
      <c r="J1" s="599">
        <v>2004</v>
      </c>
      <c r="K1" s="599">
        <v>2005</v>
      </c>
      <c r="L1" s="599">
        <v>2006</v>
      </c>
      <c r="M1" s="599">
        <v>2007</v>
      </c>
      <c r="N1" s="599">
        <v>2008</v>
      </c>
      <c r="O1" s="599">
        <v>2009</v>
      </c>
      <c r="P1" s="599">
        <v>2010</v>
      </c>
      <c r="Q1" s="599">
        <v>2011</v>
      </c>
      <c r="R1" s="599">
        <v>2012</v>
      </c>
      <c r="S1" s="599">
        <v>2013</v>
      </c>
      <c r="T1" s="599">
        <v>2014</v>
      </c>
      <c r="U1" s="599" t="s">
        <v>65</v>
      </c>
    </row>
    <row r="2" spans="1:21">
      <c r="A2" s="579" t="s">
        <v>289</v>
      </c>
      <c r="B2" t="s">
        <v>290</v>
      </c>
      <c r="C2" s="579" t="s">
        <v>291</v>
      </c>
      <c r="D2" t="s">
        <v>292</v>
      </c>
      <c r="E2" s="579" t="s">
        <v>293</v>
      </c>
      <c r="F2" s="579" t="s">
        <v>294</v>
      </c>
      <c r="G2" s="579" t="s">
        <v>295</v>
      </c>
      <c r="H2" s="600">
        <v>2389075.4300000002</v>
      </c>
      <c r="I2" s="600">
        <v>2076809.87</v>
      </c>
      <c r="J2" s="600">
        <v>149017.35</v>
      </c>
      <c r="K2" s="600">
        <v>28.58</v>
      </c>
      <c r="L2" s="600">
        <v>0</v>
      </c>
      <c r="M2" s="600">
        <v>0</v>
      </c>
      <c r="N2" s="600">
        <v>0</v>
      </c>
      <c r="O2" s="600">
        <v>0</v>
      </c>
      <c r="P2" s="600">
        <v>0</v>
      </c>
      <c r="Q2" s="600">
        <v>0</v>
      </c>
      <c r="R2" s="600">
        <v>0</v>
      </c>
      <c r="S2" s="600">
        <v>0</v>
      </c>
      <c r="T2" s="600">
        <v>0</v>
      </c>
      <c r="U2" s="600">
        <v>0</v>
      </c>
    </row>
    <row r="3" spans="1:21">
      <c r="A3" s="579" t="s">
        <v>296</v>
      </c>
      <c r="B3" t="s">
        <v>297</v>
      </c>
      <c r="C3" s="579" t="s">
        <v>298</v>
      </c>
      <c r="D3" t="s">
        <v>299</v>
      </c>
      <c r="E3" s="579" t="s">
        <v>293</v>
      </c>
      <c r="F3" s="579" t="s">
        <v>294</v>
      </c>
      <c r="G3" s="579" t="s">
        <v>295</v>
      </c>
      <c r="H3" s="600">
        <v>0</v>
      </c>
      <c r="I3" s="600">
        <v>0</v>
      </c>
      <c r="J3" s="600">
        <v>2000000</v>
      </c>
      <c r="K3" s="600">
        <v>82049.100000000006</v>
      </c>
      <c r="L3" s="600">
        <v>0</v>
      </c>
      <c r="M3" s="600">
        <v>0</v>
      </c>
      <c r="N3" s="600">
        <v>0</v>
      </c>
      <c r="O3" s="600">
        <v>0</v>
      </c>
      <c r="P3" s="600">
        <v>0</v>
      </c>
      <c r="Q3" s="600">
        <v>0</v>
      </c>
      <c r="R3" s="600">
        <v>0</v>
      </c>
      <c r="S3" s="600">
        <v>0</v>
      </c>
      <c r="T3" s="600">
        <v>0</v>
      </c>
      <c r="U3" s="600">
        <v>0</v>
      </c>
    </row>
    <row r="4" spans="1:21">
      <c r="A4" s="579" t="s">
        <v>296</v>
      </c>
      <c r="B4" t="s">
        <v>297</v>
      </c>
      <c r="C4" s="579" t="s">
        <v>300</v>
      </c>
      <c r="D4" t="s">
        <v>301</v>
      </c>
      <c r="E4" s="579" t="s">
        <v>293</v>
      </c>
      <c r="F4" s="579" t="s">
        <v>294</v>
      </c>
      <c r="G4" s="579" t="s">
        <v>295</v>
      </c>
      <c r="H4" s="600">
        <v>0</v>
      </c>
      <c r="I4" s="600">
        <v>0</v>
      </c>
      <c r="J4" s="600">
        <v>279079.21000000002</v>
      </c>
      <c r="K4" s="600">
        <v>244178.05</v>
      </c>
      <c r="L4" s="600">
        <v>34542.660000000003</v>
      </c>
      <c r="M4" s="600">
        <v>78277.72</v>
      </c>
      <c r="N4" s="600">
        <v>129732.51999999999</v>
      </c>
      <c r="O4" s="600">
        <v>222258.71000000002</v>
      </c>
      <c r="P4" s="600">
        <v>322409.32</v>
      </c>
      <c r="Q4" s="600">
        <v>296265.95</v>
      </c>
      <c r="R4" s="600">
        <v>241583.3</v>
      </c>
      <c r="S4" s="600">
        <v>793</v>
      </c>
      <c r="T4" s="600">
        <v>0</v>
      </c>
      <c r="U4" s="600">
        <v>0</v>
      </c>
    </row>
    <row r="5" spans="1:21">
      <c r="A5" s="579" t="s">
        <v>296</v>
      </c>
      <c r="B5" t="s">
        <v>297</v>
      </c>
      <c r="C5" s="579" t="s">
        <v>302</v>
      </c>
      <c r="D5" t="s">
        <v>303</v>
      </c>
      <c r="E5" s="579" t="s">
        <v>293</v>
      </c>
      <c r="F5" s="579" t="s">
        <v>294</v>
      </c>
      <c r="G5" s="579" t="s">
        <v>295</v>
      </c>
      <c r="H5" s="600">
        <v>0</v>
      </c>
      <c r="I5" s="600">
        <v>0</v>
      </c>
      <c r="J5" s="600">
        <v>171420.95</v>
      </c>
      <c r="K5" s="600">
        <v>60491.8</v>
      </c>
      <c r="L5" s="600">
        <v>26312.89</v>
      </c>
      <c r="M5" s="600">
        <v>57521.03</v>
      </c>
      <c r="N5" s="600">
        <v>113341.81</v>
      </c>
      <c r="O5" s="600">
        <v>144789.79</v>
      </c>
      <c r="P5" s="600">
        <v>510324.37</v>
      </c>
      <c r="Q5" s="600">
        <v>321447.23</v>
      </c>
      <c r="R5" s="600">
        <v>44.78</v>
      </c>
      <c r="S5" s="600">
        <v>0</v>
      </c>
      <c r="T5" s="600">
        <v>0</v>
      </c>
      <c r="U5" s="600">
        <v>0</v>
      </c>
    </row>
    <row r="6" spans="1:21">
      <c r="A6" s="579" t="s">
        <v>296</v>
      </c>
      <c r="B6" t="s">
        <v>297</v>
      </c>
      <c r="C6" s="579" t="s">
        <v>304</v>
      </c>
      <c r="D6" t="s">
        <v>305</v>
      </c>
      <c r="E6" s="579" t="s">
        <v>293</v>
      </c>
      <c r="F6" s="579" t="s">
        <v>294</v>
      </c>
      <c r="G6" s="579" t="s">
        <v>295</v>
      </c>
      <c r="H6" s="600">
        <v>0</v>
      </c>
      <c r="I6" s="600">
        <v>0</v>
      </c>
      <c r="J6" s="600">
        <v>977116.14</v>
      </c>
      <c r="K6" s="600">
        <v>1033810.31</v>
      </c>
      <c r="L6" s="600">
        <v>167626.29999999999</v>
      </c>
      <c r="M6" s="600">
        <v>167983.16</v>
      </c>
      <c r="N6" s="600">
        <v>427948.83</v>
      </c>
      <c r="O6" s="600">
        <v>705467.67</v>
      </c>
      <c r="P6" s="600">
        <v>733008.33000000007</v>
      </c>
      <c r="Q6" s="600">
        <v>562152.85</v>
      </c>
      <c r="R6" s="600">
        <v>307184.19</v>
      </c>
      <c r="S6" s="600">
        <v>617.4</v>
      </c>
      <c r="T6" s="600">
        <v>0</v>
      </c>
      <c r="U6" s="600">
        <v>0</v>
      </c>
    </row>
    <row r="7" spans="1:21">
      <c r="A7" s="579" t="s">
        <v>306</v>
      </c>
      <c r="B7" t="s">
        <v>307</v>
      </c>
      <c r="C7" s="579" t="s">
        <v>302</v>
      </c>
      <c r="D7" t="s">
        <v>303</v>
      </c>
      <c r="E7" s="579" t="s">
        <v>293</v>
      </c>
      <c r="F7" s="579" t="s">
        <v>294</v>
      </c>
      <c r="G7" s="579" t="s">
        <v>295</v>
      </c>
      <c r="H7" s="600">
        <v>0</v>
      </c>
      <c r="I7" s="600">
        <v>0</v>
      </c>
      <c r="J7" s="600">
        <v>385613.85</v>
      </c>
      <c r="K7" s="600">
        <v>14403897.52</v>
      </c>
      <c r="L7" s="600">
        <v>4493363.5200000005</v>
      </c>
      <c r="M7" s="600">
        <v>8154494.04</v>
      </c>
      <c r="N7" s="600">
        <v>4059683.2499999995</v>
      </c>
      <c r="O7" s="600">
        <v>8669305.2599999998</v>
      </c>
      <c r="P7" s="600">
        <v>4419656.8500000006</v>
      </c>
      <c r="Q7" s="600">
        <v>15793476.16</v>
      </c>
      <c r="R7" s="600">
        <v>5141202.63</v>
      </c>
      <c r="S7" s="600">
        <v>214943.14</v>
      </c>
      <c r="T7" s="600">
        <v>0</v>
      </c>
      <c r="U7" s="600">
        <v>0</v>
      </c>
    </row>
    <row r="8" spans="1:21">
      <c r="A8" s="579" t="s">
        <v>306</v>
      </c>
      <c r="B8" t="s">
        <v>307</v>
      </c>
      <c r="C8" s="579" t="s">
        <v>308</v>
      </c>
      <c r="D8" t="s">
        <v>309</v>
      </c>
      <c r="E8" s="579" t="s">
        <v>293</v>
      </c>
      <c r="F8" s="579" t="s">
        <v>294</v>
      </c>
      <c r="G8" s="579" t="s">
        <v>295</v>
      </c>
      <c r="H8" s="600">
        <v>1908832.67</v>
      </c>
      <c r="I8" s="600">
        <v>1423161.1900000002</v>
      </c>
      <c r="J8" s="600">
        <v>2569966.94</v>
      </c>
      <c r="K8" s="600">
        <v>678584.54999999993</v>
      </c>
      <c r="L8" s="600">
        <v>535394.18000000005</v>
      </c>
      <c r="M8" s="600">
        <v>1075248.1200000001</v>
      </c>
      <c r="N8" s="600">
        <v>465136</v>
      </c>
      <c r="O8" s="600">
        <v>0</v>
      </c>
      <c r="P8" s="600">
        <v>0</v>
      </c>
      <c r="Q8" s="600">
        <v>0</v>
      </c>
      <c r="R8" s="600">
        <v>0</v>
      </c>
      <c r="S8" s="600">
        <v>0</v>
      </c>
      <c r="T8" s="600">
        <v>0</v>
      </c>
      <c r="U8" s="600">
        <v>0</v>
      </c>
    </row>
    <row r="9" spans="1:21">
      <c r="A9" s="579" t="s">
        <v>306</v>
      </c>
      <c r="B9" t="s">
        <v>307</v>
      </c>
      <c r="C9" s="579" t="s">
        <v>310</v>
      </c>
      <c r="D9" t="s">
        <v>311</v>
      </c>
      <c r="E9" s="579" t="s">
        <v>293</v>
      </c>
      <c r="F9" s="579" t="s">
        <v>294</v>
      </c>
      <c r="G9" s="579" t="s">
        <v>295</v>
      </c>
      <c r="H9" s="600">
        <v>33621</v>
      </c>
      <c r="I9" s="600">
        <v>0</v>
      </c>
      <c r="J9" s="600">
        <v>0</v>
      </c>
      <c r="K9" s="600">
        <v>0</v>
      </c>
      <c r="L9" s="600">
        <v>0</v>
      </c>
      <c r="M9" s="600">
        <v>0</v>
      </c>
      <c r="N9" s="600">
        <v>0</v>
      </c>
      <c r="O9" s="600">
        <v>0</v>
      </c>
      <c r="P9" s="600">
        <v>0</v>
      </c>
      <c r="Q9" s="600">
        <v>0</v>
      </c>
      <c r="R9" s="600">
        <v>0</v>
      </c>
      <c r="S9" s="600">
        <v>0</v>
      </c>
      <c r="T9" s="600">
        <v>0</v>
      </c>
      <c r="U9" s="600">
        <v>0</v>
      </c>
    </row>
    <row r="10" spans="1:21">
      <c r="A10" s="579" t="s">
        <v>306</v>
      </c>
      <c r="B10" t="s">
        <v>307</v>
      </c>
      <c r="C10" s="579" t="s">
        <v>312</v>
      </c>
      <c r="D10" t="s">
        <v>313</v>
      </c>
      <c r="E10" s="579" t="s">
        <v>293</v>
      </c>
      <c r="F10" s="579" t="s">
        <v>294</v>
      </c>
      <c r="G10" s="579" t="s">
        <v>295</v>
      </c>
      <c r="H10" s="600">
        <v>0</v>
      </c>
      <c r="I10" s="600">
        <v>0</v>
      </c>
      <c r="J10" s="600">
        <v>300000</v>
      </c>
      <c r="K10" s="600">
        <v>0</v>
      </c>
      <c r="L10" s="600">
        <v>0</v>
      </c>
      <c r="M10" s="600">
        <v>0</v>
      </c>
      <c r="N10" s="600">
        <v>0</v>
      </c>
      <c r="O10" s="600">
        <v>0</v>
      </c>
      <c r="P10" s="600">
        <v>0</v>
      </c>
      <c r="Q10" s="600">
        <v>0</v>
      </c>
      <c r="R10" s="600">
        <v>0</v>
      </c>
      <c r="S10" s="600">
        <v>0</v>
      </c>
      <c r="T10" s="600">
        <v>0</v>
      </c>
      <c r="U10" s="600">
        <v>0</v>
      </c>
    </row>
    <row r="11" spans="1:21">
      <c r="A11" s="579" t="s">
        <v>306</v>
      </c>
      <c r="B11" t="s">
        <v>307</v>
      </c>
      <c r="C11" s="579" t="s">
        <v>314</v>
      </c>
      <c r="D11" t="s">
        <v>315</v>
      </c>
      <c r="E11" s="579" t="s">
        <v>293</v>
      </c>
      <c r="F11" s="579" t="s">
        <v>294</v>
      </c>
      <c r="G11" s="579" t="s">
        <v>295</v>
      </c>
      <c r="H11" s="600">
        <v>3046756.98</v>
      </c>
      <c r="I11" s="600">
        <v>0</v>
      </c>
      <c r="J11" s="600">
        <v>572000</v>
      </c>
      <c r="K11" s="600">
        <v>0</v>
      </c>
      <c r="L11" s="600">
        <v>0</v>
      </c>
      <c r="M11" s="600">
        <v>0</v>
      </c>
      <c r="N11" s="600">
        <v>0</v>
      </c>
      <c r="O11" s="600">
        <v>0</v>
      </c>
      <c r="P11" s="600">
        <v>0</v>
      </c>
      <c r="Q11" s="600">
        <v>0</v>
      </c>
      <c r="R11" s="600">
        <v>0</v>
      </c>
      <c r="S11" s="600">
        <v>0</v>
      </c>
      <c r="T11" s="600">
        <v>0</v>
      </c>
      <c r="U11" s="600">
        <v>0</v>
      </c>
    </row>
    <row r="12" spans="1:21">
      <c r="A12" s="579" t="s">
        <v>306</v>
      </c>
      <c r="B12" t="s">
        <v>307</v>
      </c>
      <c r="C12" s="579" t="s">
        <v>316</v>
      </c>
      <c r="D12" t="s">
        <v>317</v>
      </c>
      <c r="E12" s="579" t="s">
        <v>293</v>
      </c>
      <c r="F12" s="579" t="s">
        <v>294</v>
      </c>
      <c r="G12" s="579" t="s">
        <v>295</v>
      </c>
      <c r="H12" s="600">
        <v>0</v>
      </c>
      <c r="I12" s="600">
        <v>0</v>
      </c>
      <c r="J12" s="600">
        <v>169987.33</v>
      </c>
      <c r="K12" s="600">
        <v>111501.3</v>
      </c>
      <c r="L12" s="600">
        <v>177764.88</v>
      </c>
      <c r="M12" s="600">
        <v>289162</v>
      </c>
      <c r="N12" s="600">
        <v>455644.6</v>
      </c>
      <c r="O12" s="600">
        <v>780923.49</v>
      </c>
      <c r="P12" s="600">
        <v>784728.23</v>
      </c>
      <c r="Q12" s="600">
        <v>87592.98</v>
      </c>
      <c r="R12" s="600">
        <v>0</v>
      </c>
      <c r="S12" s="600">
        <v>0</v>
      </c>
      <c r="T12" s="600">
        <v>0</v>
      </c>
      <c r="U12" s="600">
        <v>0</v>
      </c>
    </row>
    <row r="13" spans="1:21">
      <c r="A13" s="579" t="s">
        <v>306</v>
      </c>
      <c r="B13" t="s">
        <v>307</v>
      </c>
      <c r="C13" s="579" t="s">
        <v>298</v>
      </c>
      <c r="D13" t="s">
        <v>299</v>
      </c>
      <c r="E13" s="579" t="s">
        <v>293</v>
      </c>
      <c r="F13" s="579" t="s">
        <v>294</v>
      </c>
      <c r="G13" s="579" t="s">
        <v>295</v>
      </c>
      <c r="H13" s="600">
        <v>0</v>
      </c>
      <c r="I13" s="600">
        <v>0</v>
      </c>
      <c r="J13" s="600">
        <v>0</v>
      </c>
      <c r="K13" s="600">
        <v>5092151.49</v>
      </c>
      <c r="L13" s="600">
        <v>988615.21</v>
      </c>
      <c r="M13" s="600">
        <v>3711915.97</v>
      </c>
      <c r="N13" s="600">
        <v>7543518.9900000002</v>
      </c>
      <c r="O13" s="600">
        <v>10979859.6</v>
      </c>
      <c r="P13" s="600">
        <v>8826542.5999999996</v>
      </c>
      <c r="Q13" s="600">
        <v>16612151.450000001</v>
      </c>
      <c r="R13" s="600">
        <v>11371124.039999999</v>
      </c>
      <c r="S13" s="600">
        <v>0</v>
      </c>
      <c r="T13" s="600">
        <v>0</v>
      </c>
      <c r="U13" s="600">
        <v>0</v>
      </c>
    </row>
    <row r="14" spans="1:21">
      <c r="A14" s="579" t="s">
        <v>318</v>
      </c>
      <c r="B14" t="s">
        <v>319</v>
      </c>
      <c r="C14" s="579" t="s">
        <v>320</v>
      </c>
      <c r="D14" t="s">
        <v>321</v>
      </c>
      <c r="E14" s="579" t="s">
        <v>293</v>
      </c>
      <c r="F14" s="579" t="s">
        <v>294</v>
      </c>
      <c r="G14" s="579" t="s">
        <v>295</v>
      </c>
      <c r="H14" s="600">
        <v>8140.54</v>
      </c>
      <c r="I14" s="600">
        <v>2459.6999999999998</v>
      </c>
      <c r="J14" s="600">
        <v>4780126.47</v>
      </c>
      <c r="K14" s="600">
        <v>316955.64</v>
      </c>
      <c r="L14" s="600">
        <v>539640.41</v>
      </c>
      <c r="M14" s="600">
        <v>320116.86000000004</v>
      </c>
      <c r="N14" s="600">
        <v>51638</v>
      </c>
      <c r="O14" s="600">
        <v>5698.42</v>
      </c>
      <c r="P14" s="600">
        <v>0.14000000000000001</v>
      </c>
      <c r="Q14" s="600">
        <v>0</v>
      </c>
      <c r="R14" s="600">
        <v>5356.99</v>
      </c>
      <c r="S14" s="600">
        <v>0</v>
      </c>
      <c r="T14" s="600">
        <v>0</v>
      </c>
      <c r="U14" s="600">
        <v>0</v>
      </c>
    </row>
    <row r="15" spans="1:21">
      <c r="A15" s="579" t="s">
        <v>318</v>
      </c>
      <c r="B15" t="s">
        <v>319</v>
      </c>
      <c r="C15" s="579" t="s">
        <v>322</v>
      </c>
      <c r="D15" t="s">
        <v>323</v>
      </c>
      <c r="E15" s="579" t="s">
        <v>293</v>
      </c>
      <c r="F15" s="579" t="s">
        <v>294</v>
      </c>
      <c r="G15" s="579" t="s">
        <v>324</v>
      </c>
      <c r="H15" s="600">
        <v>0</v>
      </c>
      <c r="I15" s="600">
        <v>0</v>
      </c>
      <c r="J15" s="600">
        <v>0</v>
      </c>
      <c r="K15" s="600">
        <v>0</v>
      </c>
      <c r="L15" s="600">
        <v>0</v>
      </c>
      <c r="M15" s="600">
        <v>0</v>
      </c>
      <c r="N15" s="600">
        <v>0</v>
      </c>
      <c r="O15" s="600">
        <v>18261750</v>
      </c>
      <c r="P15" s="600">
        <v>303278383.49000001</v>
      </c>
      <c r="Q15" s="600">
        <v>354073390.10999995</v>
      </c>
      <c r="R15" s="600">
        <v>21813259.66</v>
      </c>
      <c r="S15" s="600">
        <v>0</v>
      </c>
      <c r="T15" s="600">
        <v>0</v>
      </c>
      <c r="U15" s="600">
        <v>0</v>
      </c>
    </row>
    <row r="16" spans="1:21">
      <c r="A16" s="579" t="s">
        <v>318</v>
      </c>
      <c r="B16" t="s">
        <v>319</v>
      </c>
      <c r="C16" s="579" t="s">
        <v>325</v>
      </c>
      <c r="D16" t="s">
        <v>326</v>
      </c>
      <c r="E16" s="579" t="s">
        <v>293</v>
      </c>
      <c r="F16" s="579" t="s">
        <v>294</v>
      </c>
      <c r="G16" s="579" t="s">
        <v>295</v>
      </c>
      <c r="H16" s="600">
        <v>400000</v>
      </c>
      <c r="I16" s="600">
        <v>0</v>
      </c>
      <c r="J16" s="600">
        <v>280010</v>
      </c>
      <c r="K16" s="600">
        <v>400000</v>
      </c>
      <c r="L16" s="600">
        <v>0</v>
      </c>
      <c r="M16" s="600">
        <v>0</v>
      </c>
      <c r="N16" s="600">
        <v>476435.20000000001</v>
      </c>
      <c r="O16" s="600">
        <v>843496.44</v>
      </c>
      <c r="P16" s="600">
        <v>784407.67999999993</v>
      </c>
      <c r="Q16" s="600">
        <v>812539.53</v>
      </c>
      <c r="R16" s="600">
        <v>115448.52</v>
      </c>
      <c r="S16" s="600">
        <v>0</v>
      </c>
      <c r="T16" s="600">
        <v>0</v>
      </c>
      <c r="U16" s="600">
        <v>0</v>
      </c>
    </row>
    <row r="17" spans="1:21">
      <c r="A17" s="579" t="s">
        <v>318</v>
      </c>
      <c r="B17" t="s">
        <v>319</v>
      </c>
      <c r="C17" s="579" t="s">
        <v>327</v>
      </c>
      <c r="D17" t="s">
        <v>328</v>
      </c>
      <c r="E17" s="579" t="s">
        <v>293</v>
      </c>
      <c r="F17" s="579" t="s">
        <v>294</v>
      </c>
      <c r="G17" s="579" t="s">
        <v>324</v>
      </c>
      <c r="H17" s="600">
        <v>0</v>
      </c>
      <c r="I17" s="600">
        <v>0</v>
      </c>
      <c r="J17" s="600">
        <v>0</v>
      </c>
      <c r="K17" s="600">
        <v>0</v>
      </c>
      <c r="L17" s="600">
        <v>0</v>
      </c>
      <c r="M17" s="600">
        <v>0</v>
      </c>
      <c r="N17" s="600">
        <v>1654596.28</v>
      </c>
      <c r="O17" s="600">
        <v>0</v>
      </c>
      <c r="P17" s="600">
        <v>0</v>
      </c>
      <c r="Q17" s="600">
        <v>0</v>
      </c>
      <c r="R17" s="600">
        <v>0</v>
      </c>
      <c r="S17" s="600">
        <v>0</v>
      </c>
      <c r="T17" s="600">
        <v>0</v>
      </c>
      <c r="U17" s="600">
        <v>0</v>
      </c>
    </row>
    <row r="18" spans="1:21">
      <c r="A18" s="579" t="s">
        <v>329</v>
      </c>
      <c r="B18" t="s">
        <v>330</v>
      </c>
      <c r="C18" s="579" t="s">
        <v>331</v>
      </c>
      <c r="D18" t="s">
        <v>332</v>
      </c>
      <c r="E18" s="579" t="s">
        <v>293</v>
      </c>
      <c r="F18" s="579" t="s">
        <v>294</v>
      </c>
      <c r="G18" s="579" t="s">
        <v>295</v>
      </c>
      <c r="H18" s="600">
        <v>0</v>
      </c>
      <c r="I18" s="600">
        <v>0</v>
      </c>
      <c r="J18" s="600">
        <v>0</v>
      </c>
      <c r="K18" s="600">
        <v>0</v>
      </c>
      <c r="L18" s="600">
        <v>0</v>
      </c>
      <c r="M18" s="600">
        <v>0</v>
      </c>
      <c r="N18" s="600">
        <v>0</v>
      </c>
      <c r="O18" s="600">
        <v>0</v>
      </c>
      <c r="P18" s="600">
        <v>0</v>
      </c>
      <c r="Q18" s="600">
        <v>0</v>
      </c>
      <c r="R18" s="600">
        <v>41515.410000000003</v>
      </c>
      <c r="S18" s="600">
        <v>41.07</v>
      </c>
      <c r="T18" s="600">
        <v>0</v>
      </c>
      <c r="U18" s="600">
        <v>0</v>
      </c>
    </row>
    <row r="19" spans="1:21">
      <c r="A19" s="579" t="s">
        <v>333</v>
      </c>
      <c r="B19" t="s">
        <v>334</v>
      </c>
      <c r="C19" s="579" t="s">
        <v>322</v>
      </c>
      <c r="D19" t="s">
        <v>323</v>
      </c>
      <c r="E19" s="579" t="s">
        <v>293</v>
      </c>
      <c r="F19" s="579" t="s">
        <v>294</v>
      </c>
      <c r="G19" s="579" t="s">
        <v>324</v>
      </c>
      <c r="H19" s="600">
        <v>0</v>
      </c>
      <c r="I19" s="600">
        <v>0</v>
      </c>
      <c r="J19" s="600">
        <v>0</v>
      </c>
      <c r="K19" s="600">
        <v>0</v>
      </c>
      <c r="L19" s="600">
        <v>0</v>
      </c>
      <c r="M19" s="600">
        <v>0</v>
      </c>
      <c r="N19" s="600">
        <v>0</v>
      </c>
      <c r="O19" s="600">
        <v>0</v>
      </c>
      <c r="P19" s="600">
        <v>0</v>
      </c>
      <c r="Q19" s="600">
        <v>0</v>
      </c>
      <c r="R19" s="600">
        <v>326653623.30000001</v>
      </c>
      <c r="S19" s="600">
        <v>336023781.45000005</v>
      </c>
      <c r="T19" s="600">
        <v>458882973.45999992</v>
      </c>
      <c r="U19" s="600">
        <v>803526211.94999981</v>
      </c>
    </row>
    <row r="20" spans="1:21">
      <c r="A20" s="579" t="s">
        <v>333</v>
      </c>
      <c r="B20" t="s">
        <v>334</v>
      </c>
      <c r="C20" s="579" t="s">
        <v>335</v>
      </c>
      <c r="D20" t="s">
        <v>336</v>
      </c>
      <c r="E20" s="579" t="s">
        <v>293</v>
      </c>
      <c r="F20" s="579" t="s">
        <v>294</v>
      </c>
      <c r="G20" s="579" t="s">
        <v>324</v>
      </c>
      <c r="H20" s="600">
        <v>0</v>
      </c>
      <c r="I20" s="600">
        <v>0</v>
      </c>
      <c r="J20" s="600">
        <v>0</v>
      </c>
      <c r="K20" s="600">
        <v>0</v>
      </c>
      <c r="L20" s="600">
        <v>0</v>
      </c>
      <c r="M20" s="600">
        <v>0</v>
      </c>
      <c r="N20" s="600">
        <v>0</v>
      </c>
      <c r="O20" s="600">
        <v>0</v>
      </c>
      <c r="P20" s="600">
        <v>0</v>
      </c>
      <c r="Q20" s="600">
        <v>0</v>
      </c>
      <c r="R20" s="600">
        <v>0</v>
      </c>
      <c r="S20" s="600">
        <v>28765689.18</v>
      </c>
      <c r="T20" s="600">
        <v>0</v>
      </c>
      <c r="U20" s="600">
        <v>0</v>
      </c>
    </row>
    <row r="21" spans="1:21">
      <c r="A21" s="579" t="s">
        <v>337</v>
      </c>
      <c r="B21" t="s">
        <v>338</v>
      </c>
      <c r="C21" s="579" t="s">
        <v>339</v>
      </c>
      <c r="D21" t="s">
        <v>340</v>
      </c>
      <c r="E21" s="579" t="s">
        <v>293</v>
      </c>
      <c r="F21" s="579" t="s">
        <v>294</v>
      </c>
      <c r="G21" s="579" t="s">
        <v>324</v>
      </c>
      <c r="H21" s="600">
        <v>0</v>
      </c>
      <c r="I21" s="600">
        <v>0</v>
      </c>
      <c r="J21" s="600">
        <v>0</v>
      </c>
      <c r="K21" s="600">
        <v>0</v>
      </c>
      <c r="L21" s="600">
        <v>0</v>
      </c>
      <c r="M21" s="600">
        <v>0</v>
      </c>
      <c r="N21" s="600">
        <v>0</v>
      </c>
      <c r="O21" s="600">
        <v>0</v>
      </c>
      <c r="P21" s="600">
        <v>0</v>
      </c>
      <c r="Q21" s="600">
        <v>0</v>
      </c>
      <c r="R21" s="600">
        <v>226977866560.10001</v>
      </c>
      <c r="S21" s="600">
        <v>269390789254.53</v>
      </c>
      <c r="T21" s="600">
        <v>296459158807.53003</v>
      </c>
      <c r="U21" s="600">
        <v>329507866534.12</v>
      </c>
    </row>
    <row r="22" spans="1:21">
      <c r="A22" s="579" t="s">
        <v>337</v>
      </c>
      <c r="B22" t="s">
        <v>338</v>
      </c>
      <c r="C22" s="579" t="s">
        <v>341</v>
      </c>
      <c r="D22" t="s">
        <v>342</v>
      </c>
      <c r="E22" s="579" t="s">
        <v>293</v>
      </c>
      <c r="F22" s="579" t="s">
        <v>294</v>
      </c>
      <c r="G22" s="579" t="s">
        <v>19</v>
      </c>
      <c r="H22" s="600">
        <v>0</v>
      </c>
      <c r="I22" s="600">
        <v>0</v>
      </c>
      <c r="J22" s="600">
        <v>0</v>
      </c>
      <c r="K22" s="600">
        <v>0</v>
      </c>
      <c r="L22" s="600">
        <v>0</v>
      </c>
      <c r="M22" s="600">
        <v>0</v>
      </c>
      <c r="N22" s="600">
        <v>0</v>
      </c>
      <c r="O22" s="600">
        <v>0</v>
      </c>
      <c r="P22" s="600">
        <v>0</v>
      </c>
      <c r="Q22" s="600">
        <v>0</v>
      </c>
      <c r="R22" s="600">
        <v>68539559406.220001</v>
      </c>
      <c r="S22" s="600">
        <v>78638357452.23999</v>
      </c>
      <c r="T22" s="600">
        <v>86753541175.899994</v>
      </c>
      <c r="U22" s="600">
        <v>95370736591.880005</v>
      </c>
    </row>
    <row r="23" spans="1:21">
      <c r="A23" s="579" t="s">
        <v>337</v>
      </c>
      <c r="B23" t="s">
        <v>338</v>
      </c>
      <c r="C23" s="579" t="s">
        <v>343</v>
      </c>
      <c r="D23" t="s">
        <v>344</v>
      </c>
      <c r="E23" s="579" t="s">
        <v>293</v>
      </c>
      <c r="F23" s="579" t="s">
        <v>294</v>
      </c>
      <c r="G23" s="579" t="s">
        <v>295</v>
      </c>
      <c r="H23" s="600">
        <v>0</v>
      </c>
      <c r="I23" s="600">
        <v>0</v>
      </c>
      <c r="J23" s="600">
        <v>0</v>
      </c>
      <c r="K23" s="600">
        <v>0</v>
      </c>
      <c r="L23" s="600">
        <v>0</v>
      </c>
      <c r="M23" s="600">
        <v>0</v>
      </c>
      <c r="N23" s="600">
        <v>0</v>
      </c>
      <c r="O23" s="600">
        <v>0</v>
      </c>
      <c r="P23" s="600">
        <v>0</v>
      </c>
      <c r="Q23" s="600">
        <v>0</v>
      </c>
      <c r="R23" s="600">
        <v>354452384.25999999</v>
      </c>
      <c r="S23" s="600">
        <v>364971590.84000003</v>
      </c>
      <c r="T23" s="600">
        <v>341278502.59000003</v>
      </c>
      <c r="U23" s="600">
        <v>202679474.40000001</v>
      </c>
    </row>
    <row r="24" spans="1:21">
      <c r="A24" s="579" t="s">
        <v>337</v>
      </c>
      <c r="B24" t="s">
        <v>338</v>
      </c>
      <c r="C24" s="579" t="s">
        <v>345</v>
      </c>
      <c r="D24" t="s">
        <v>346</v>
      </c>
      <c r="E24" s="579" t="s">
        <v>293</v>
      </c>
      <c r="F24" s="579" t="s">
        <v>294</v>
      </c>
      <c r="G24" s="579" t="s">
        <v>295</v>
      </c>
      <c r="H24" s="600">
        <v>0</v>
      </c>
      <c r="I24" s="600">
        <v>0</v>
      </c>
      <c r="J24" s="600">
        <v>0</v>
      </c>
      <c r="K24" s="600">
        <v>0</v>
      </c>
      <c r="L24" s="600">
        <v>0</v>
      </c>
      <c r="M24" s="600">
        <v>0</v>
      </c>
      <c r="N24" s="600">
        <v>0</v>
      </c>
      <c r="O24" s="600">
        <v>0</v>
      </c>
      <c r="P24" s="600">
        <v>0</v>
      </c>
      <c r="Q24" s="600">
        <v>0</v>
      </c>
      <c r="R24" s="600">
        <v>5129097.78</v>
      </c>
      <c r="S24" s="600">
        <v>4363326.1499999994</v>
      </c>
      <c r="T24" s="600">
        <v>5748385.7000000002</v>
      </c>
      <c r="U24" s="600">
        <v>3367967.5500000003</v>
      </c>
    </row>
    <row r="25" spans="1:21">
      <c r="A25" s="579" t="s">
        <v>337</v>
      </c>
      <c r="B25" t="s">
        <v>338</v>
      </c>
      <c r="C25" s="579" t="s">
        <v>347</v>
      </c>
      <c r="D25" t="s">
        <v>348</v>
      </c>
      <c r="E25" s="579" t="s">
        <v>293</v>
      </c>
      <c r="F25" s="579" t="s">
        <v>294</v>
      </c>
      <c r="G25" s="579" t="s">
        <v>295</v>
      </c>
      <c r="H25" s="600">
        <v>0</v>
      </c>
      <c r="I25" s="600">
        <v>0</v>
      </c>
      <c r="J25" s="600">
        <v>0</v>
      </c>
      <c r="K25" s="600">
        <v>0</v>
      </c>
      <c r="L25" s="600">
        <v>0</v>
      </c>
      <c r="M25" s="600">
        <v>0</v>
      </c>
      <c r="N25" s="600">
        <v>0</v>
      </c>
      <c r="O25" s="600">
        <v>0</v>
      </c>
      <c r="P25" s="600">
        <v>0</v>
      </c>
      <c r="Q25" s="600">
        <v>0</v>
      </c>
      <c r="R25" s="600">
        <v>124120723.11</v>
      </c>
      <c r="S25" s="600">
        <v>109671387.04000001</v>
      </c>
      <c r="T25" s="600">
        <v>106308524.79000001</v>
      </c>
      <c r="U25" s="600">
        <v>137346352.24000001</v>
      </c>
    </row>
    <row r="26" spans="1:21">
      <c r="A26" s="579" t="s">
        <v>337</v>
      </c>
      <c r="B26" t="s">
        <v>338</v>
      </c>
      <c r="C26" s="579" t="s">
        <v>325</v>
      </c>
      <c r="D26" t="s">
        <v>326</v>
      </c>
      <c r="E26" s="579" t="s">
        <v>293</v>
      </c>
      <c r="F26" s="579" t="s">
        <v>294</v>
      </c>
      <c r="G26" s="579" t="s">
        <v>295</v>
      </c>
      <c r="H26" s="600">
        <v>0</v>
      </c>
      <c r="I26" s="600">
        <v>0</v>
      </c>
      <c r="J26" s="600">
        <v>0</v>
      </c>
      <c r="K26" s="600">
        <v>0</v>
      </c>
      <c r="L26" s="600">
        <v>0</v>
      </c>
      <c r="M26" s="600">
        <v>0</v>
      </c>
      <c r="N26" s="600">
        <v>0</v>
      </c>
      <c r="O26" s="600">
        <v>0</v>
      </c>
      <c r="P26" s="600">
        <v>0</v>
      </c>
      <c r="Q26" s="600">
        <v>0</v>
      </c>
      <c r="R26" s="600">
        <v>761560.8</v>
      </c>
      <c r="S26" s="600">
        <v>73484.73</v>
      </c>
      <c r="T26" s="600">
        <v>0</v>
      </c>
      <c r="U26" s="600">
        <v>0</v>
      </c>
    </row>
    <row r="27" spans="1:21">
      <c r="A27" s="579" t="s">
        <v>337</v>
      </c>
      <c r="B27" t="s">
        <v>338</v>
      </c>
      <c r="C27" s="579" t="s">
        <v>349</v>
      </c>
      <c r="D27" t="s">
        <v>350</v>
      </c>
      <c r="E27" s="579" t="s">
        <v>293</v>
      </c>
      <c r="F27" s="579" t="s">
        <v>294</v>
      </c>
      <c r="G27" s="579" t="s">
        <v>324</v>
      </c>
      <c r="H27" s="600">
        <v>0</v>
      </c>
      <c r="I27" s="600">
        <v>0</v>
      </c>
      <c r="J27" s="600">
        <v>0</v>
      </c>
      <c r="K27" s="600">
        <v>0</v>
      </c>
      <c r="L27" s="600">
        <v>0</v>
      </c>
      <c r="M27" s="600">
        <v>0</v>
      </c>
      <c r="N27" s="600">
        <v>0</v>
      </c>
      <c r="O27" s="600">
        <v>0</v>
      </c>
      <c r="P27" s="600">
        <v>0</v>
      </c>
      <c r="Q27" s="600">
        <v>0</v>
      </c>
      <c r="R27" s="600">
        <v>8631715.4199999999</v>
      </c>
      <c r="S27" s="600">
        <v>17255973.43</v>
      </c>
      <c r="T27" s="600">
        <v>21511100.109999999</v>
      </c>
      <c r="U27" s="600">
        <v>13514344.940000001</v>
      </c>
    </row>
    <row r="28" spans="1:21">
      <c r="A28" s="579" t="s">
        <v>337</v>
      </c>
      <c r="B28" t="s">
        <v>338</v>
      </c>
      <c r="C28" s="579" t="s">
        <v>351</v>
      </c>
      <c r="D28" t="s">
        <v>352</v>
      </c>
      <c r="E28" s="579" t="s">
        <v>293</v>
      </c>
      <c r="F28" s="579" t="s">
        <v>294</v>
      </c>
      <c r="G28" s="579" t="s">
        <v>295</v>
      </c>
      <c r="H28" s="600">
        <v>0</v>
      </c>
      <c r="I28" s="600">
        <v>0</v>
      </c>
      <c r="J28" s="600">
        <v>0</v>
      </c>
      <c r="K28" s="600">
        <v>0</v>
      </c>
      <c r="L28" s="600">
        <v>0</v>
      </c>
      <c r="M28" s="600">
        <v>0</v>
      </c>
      <c r="N28" s="600">
        <v>0</v>
      </c>
      <c r="O28" s="600">
        <v>0</v>
      </c>
      <c r="P28" s="600">
        <v>0</v>
      </c>
      <c r="Q28" s="600">
        <v>0</v>
      </c>
      <c r="R28" s="600">
        <v>3341600.17</v>
      </c>
      <c r="S28" s="600">
        <v>3959963.31</v>
      </c>
      <c r="T28" s="600">
        <v>5266751.5500000007</v>
      </c>
      <c r="U28" s="600">
        <v>5794909.5499999998</v>
      </c>
    </row>
    <row r="29" spans="1:21">
      <c r="A29" s="579" t="s">
        <v>337</v>
      </c>
      <c r="B29" t="s">
        <v>338</v>
      </c>
      <c r="C29" s="579" t="s">
        <v>353</v>
      </c>
      <c r="D29" t="s">
        <v>354</v>
      </c>
      <c r="E29" s="579" t="s">
        <v>293</v>
      </c>
      <c r="F29" s="579" t="s">
        <v>294</v>
      </c>
      <c r="G29" s="579" t="s">
        <v>295</v>
      </c>
      <c r="H29" s="600">
        <v>0</v>
      </c>
      <c r="I29" s="600">
        <v>0</v>
      </c>
      <c r="J29" s="600">
        <v>0</v>
      </c>
      <c r="K29" s="600">
        <v>0</v>
      </c>
      <c r="L29" s="600">
        <v>0</v>
      </c>
      <c r="M29" s="600">
        <v>0</v>
      </c>
      <c r="N29" s="600">
        <v>0</v>
      </c>
      <c r="O29" s="600">
        <v>0</v>
      </c>
      <c r="P29" s="600">
        <v>0</v>
      </c>
      <c r="Q29" s="600">
        <v>0</v>
      </c>
      <c r="R29" s="600">
        <v>36288609.140000001</v>
      </c>
      <c r="S29" s="600">
        <v>37801666.909999996</v>
      </c>
      <c r="T29" s="600">
        <v>36165364.450000003</v>
      </c>
      <c r="U29" s="600">
        <v>15924138.430000002</v>
      </c>
    </row>
    <row r="30" spans="1:21">
      <c r="A30" s="579" t="s">
        <v>337</v>
      </c>
      <c r="B30" t="s">
        <v>338</v>
      </c>
      <c r="C30" s="579" t="s">
        <v>355</v>
      </c>
      <c r="D30" t="s">
        <v>356</v>
      </c>
      <c r="E30" s="579" t="s">
        <v>293</v>
      </c>
      <c r="F30" s="579" t="s">
        <v>294</v>
      </c>
      <c r="G30" s="579" t="s">
        <v>295</v>
      </c>
      <c r="H30" s="600">
        <v>0</v>
      </c>
      <c r="I30" s="600">
        <v>0</v>
      </c>
      <c r="J30" s="600">
        <v>0</v>
      </c>
      <c r="K30" s="600">
        <v>0</v>
      </c>
      <c r="L30" s="600">
        <v>0</v>
      </c>
      <c r="M30" s="600">
        <v>0</v>
      </c>
      <c r="N30" s="600">
        <v>0</v>
      </c>
      <c r="O30" s="600">
        <v>0</v>
      </c>
      <c r="P30" s="600">
        <v>0</v>
      </c>
      <c r="Q30" s="600">
        <v>0</v>
      </c>
      <c r="R30" s="600">
        <v>616641815.75</v>
      </c>
      <c r="S30" s="600">
        <v>765948290.99999988</v>
      </c>
      <c r="T30" s="600">
        <v>954826662.02999997</v>
      </c>
      <c r="U30" s="600">
        <v>837703722.44000006</v>
      </c>
    </row>
    <row r="31" spans="1:21">
      <c r="A31" s="579" t="s">
        <v>337</v>
      </c>
      <c r="B31" t="s">
        <v>338</v>
      </c>
      <c r="C31" s="579" t="s">
        <v>357</v>
      </c>
      <c r="D31" t="s">
        <v>358</v>
      </c>
      <c r="E31" s="579" t="s">
        <v>293</v>
      </c>
      <c r="F31" s="579" t="s">
        <v>294</v>
      </c>
      <c r="G31" s="579" t="s">
        <v>295</v>
      </c>
      <c r="H31" s="600">
        <v>0</v>
      </c>
      <c r="I31" s="600">
        <v>0</v>
      </c>
      <c r="J31" s="600">
        <v>0</v>
      </c>
      <c r="K31" s="600">
        <v>0</v>
      </c>
      <c r="L31" s="600">
        <v>0</v>
      </c>
      <c r="M31" s="600">
        <v>0</v>
      </c>
      <c r="N31" s="600">
        <v>0</v>
      </c>
      <c r="O31" s="600">
        <v>0</v>
      </c>
      <c r="P31" s="600">
        <v>0</v>
      </c>
      <c r="Q31" s="600">
        <v>0</v>
      </c>
      <c r="R31" s="600">
        <v>94141727.700000003</v>
      </c>
      <c r="S31" s="600">
        <v>83027176.300000012</v>
      </c>
      <c r="T31" s="600">
        <v>98930229.839999989</v>
      </c>
      <c r="U31" s="600">
        <v>119891797.79000001</v>
      </c>
    </row>
    <row r="32" spans="1:21">
      <c r="A32" s="579" t="s">
        <v>337</v>
      </c>
      <c r="B32" t="s">
        <v>338</v>
      </c>
      <c r="C32" s="579" t="s">
        <v>298</v>
      </c>
      <c r="D32" t="s">
        <v>299</v>
      </c>
      <c r="E32" s="579" t="s">
        <v>293</v>
      </c>
      <c r="F32" s="579" t="s">
        <v>294</v>
      </c>
      <c r="G32" s="579" t="s">
        <v>295</v>
      </c>
      <c r="H32" s="600">
        <v>0</v>
      </c>
      <c r="I32" s="600">
        <v>0</v>
      </c>
      <c r="J32" s="600">
        <v>0</v>
      </c>
      <c r="K32" s="600">
        <v>0</v>
      </c>
      <c r="L32" s="600">
        <v>0</v>
      </c>
      <c r="M32" s="600">
        <v>0</v>
      </c>
      <c r="N32" s="600">
        <v>0</v>
      </c>
      <c r="O32" s="600">
        <v>0</v>
      </c>
      <c r="P32" s="600">
        <v>0</v>
      </c>
      <c r="Q32" s="600">
        <v>0</v>
      </c>
      <c r="R32" s="600">
        <v>5535105.5599999996</v>
      </c>
      <c r="S32" s="600">
        <v>21419093.469999999</v>
      </c>
      <c r="T32" s="600">
        <v>17664415.32</v>
      </c>
      <c r="U32" s="600">
        <v>10335595.68</v>
      </c>
    </row>
    <row r="33" spans="1:21">
      <c r="A33" s="579" t="s">
        <v>337</v>
      </c>
      <c r="B33" t="s">
        <v>338</v>
      </c>
      <c r="C33" s="579" t="s">
        <v>359</v>
      </c>
      <c r="D33" t="s">
        <v>360</v>
      </c>
      <c r="E33" s="579" t="s">
        <v>293</v>
      </c>
      <c r="F33" s="579" t="s">
        <v>294</v>
      </c>
      <c r="G33" s="579" t="s">
        <v>295</v>
      </c>
      <c r="H33" s="600">
        <v>0</v>
      </c>
      <c r="I33" s="600">
        <v>0</v>
      </c>
      <c r="J33" s="600">
        <v>0</v>
      </c>
      <c r="K33" s="600">
        <v>0</v>
      </c>
      <c r="L33" s="600">
        <v>0</v>
      </c>
      <c r="M33" s="600">
        <v>0</v>
      </c>
      <c r="N33" s="600">
        <v>0</v>
      </c>
      <c r="O33" s="600">
        <v>0</v>
      </c>
      <c r="P33" s="600">
        <v>0</v>
      </c>
      <c r="Q33" s="600">
        <v>0</v>
      </c>
      <c r="R33" s="600">
        <v>77724.740000000005</v>
      </c>
      <c r="S33" s="600">
        <v>135759.21</v>
      </c>
      <c r="T33" s="600">
        <v>12021.29</v>
      </c>
      <c r="U33" s="600">
        <v>19638.59</v>
      </c>
    </row>
    <row r="34" spans="1:21">
      <c r="A34" s="579" t="s">
        <v>337</v>
      </c>
      <c r="B34" t="s">
        <v>338</v>
      </c>
      <c r="C34" s="579" t="s">
        <v>361</v>
      </c>
      <c r="D34" t="s">
        <v>362</v>
      </c>
      <c r="E34" s="579" t="s">
        <v>293</v>
      </c>
      <c r="F34" s="579" t="s">
        <v>294</v>
      </c>
      <c r="G34" s="579" t="s">
        <v>295</v>
      </c>
      <c r="H34" s="600">
        <v>0</v>
      </c>
      <c r="I34" s="600">
        <v>0</v>
      </c>
      <c r="J34" s="600">
        <v>0</v>
      </c>
      <c r="K34" s="600">
        <v>0</v>
      </c>
      <c r="L34" s="600">
        <v>0</v>
      </c>
      <c r="M34" s="600">
        <v>0</v>
      </c>
      <c r="N34" s="600">
        <v>0</v>
      </c>
      <c r="O34" s="600">
        <v>0</v>
      </c>
      <c r="P34" s="600">
        <v>0</v>
      </c>
      <c r="Q34" s="600">
        <v>0</v>
      </c>
      <c r="R34" s="600">
        <v>17441812.59</v>
      </c>
      <c r="S34" s="600">
        <v>17735495.300000001</v>
      </c>
      <c r="T34" s="600">
        <v>27061036.199999999</v>
      </c>
      <c r="U34" s="600">
        <v>16259539.119999999</v>
      </c>
    </row>
    <row r="35" spans="1:21">
      <c r="A35" s="579" t="s">
        <v>337</v>
      </c>
      <c r="B35" t="s">
        <v>338</v>
      </c>
      <c r="C35" s="579" t="s">
        <v>363</v>
      </c>
      <c r="D35" t="s">
        <v>364</v>
      </c>
      <c r="E35" s="579" t="s">
        <v>293</v>
      </c>
      <c r="F35" s="579" t="s">
        <v>294</v>
      </c>
      <c r="G35" s="579" t="s">
        <v>324</v>
      </c>
      <c r="H35" s="600">
        <v>0</v>
      </c>
      <c r="I35" s="600">
        <v>0</v>
      </c>
      <c r="J35" s="600">
        <v>0</v>
      </c>
      <c r="K35" s="600">
        <v>0</v>
      </c>
      <c r="L35" s="600">
        <v>0</v>
      </c>
      <c r="M35" s="600">
        <v>0</v>
      </c>
      <c r="N35" s="600">
        <v>0</v>
      </c>
      <c r="O35" s="600">
        <v>0</v>
      </c>
      <c r="P35" s="600">
        <v>0</v>
      </c>
      <c r="Q35" s="600">
        <v>0</v>
      </c>
      <c r="R35" s="600">
        <v>1388355238.6399999</v>
      </c>
      <c r="S35" s="600">
        <v>1996208574.73</v>
      </c>
      <c r="T35" s="600">
        <v>1958077736.5400002</v>
      </c>
      <c r="U35" s="600">
        <v>1754197816.1600001</v>
      </c>
    </row>
    <row r="36" spans="1:21">
      <c r="A36" s="579" t="s">
        <v>337</v>
      </c>
      <c r="B36" t="s">
        <v>338</v>
      </c>
      <c r="C36" s="579" t="s">
        <v>365</v>
      </c>
      <c r="D36" t="s">
        <v>366</v>
      </c>
      <c r="E36" s="579" t="s">
        <v>293</v>
      </c>
      <c r="F36" s="579" t="s">
        <v>294</v>
      </c>
      <c r="G36" s="579" t="s">
        <v>295</v>
      </c>
      <c r="H36" s="600">
        <v>0</v>
      </c>
      <c r="I36" s="600">
        <v>0</v>
      </c>
      <c r="J36" s="600">
        <v>0</v>
      </c>
      <c r="K36" s="600">
        <v>0</v>
      </c>
      <c r="L36" s="600">
        <v>0</v>
      </c>
      <c r="M36" s="600">
        <v>0</v>
      </c>
      <c r="N36" s="600">
        <v>0</v>
      </c>
      <c r="O36" s="600">
        <v>0</v>
      </c>
      <c r="P36" s="600">
        <v>0</v>
      </c>
      <c r="Q36" s="600">
        <v>0</v>
      </c>
      <c r="R36" s="600">
        <v>21494103.459999997</v>
      </c>
      <c r="S36" s="600">
        <v>94432952.109999999</v>
      </c>
      <c r="T36" s="600">
        <v>86527725.960000023</v>
      </c>
      <c r="U36" s="600">
        <v>26676739.449999999</v>
      </c>
    </row>
    <row r="37" spans="1:21">
      <c r="A37" s="579" t="s">
        <v>337</v>
      </c>
      <c r="B37" t="s">
        <v>338</v>
      </c>
      <c r="C37" s="579" t="s">
        <v>367</v>
      </c>
      <c r="D37" t="s">
        <v>368</v>
      </c>
      <c r="E37" s="579" t="s">
        <v>293</v>
      </c>
      <c r="F37" s="579" t="s">
        <v>294</v>
      </c>
      <c r="G37" s="579" t="s">
        <v>295</v>
      </c>
      <c r="H37" s="600">
        <v>0</v>
      </c>
      <c r="I37" s="600">
        <v>0</v>
      </c>
      <c r="J37" s="600">
        <v>0</v>
      </c>
      <c r="K37" s="600">
        <v>0</v>
      </c>
      <c r="L37" s="600">
        <v>0</v>
      </c>
      <c r="M37" s="600">
        <v>0</v>
      </c>
      <c r="N37" s="600">
        <v>0</v>
      </c>
      <c r="O37" s="600">
        <v>0</v>
      </c>
      <c r="P37" s="600">
        <v>0</v>
      </c>
      <c r="Q37" s="600">
        <v>0</v>
      </c>
      <c r="R37" s="600">
        <v>320260.82</v>
      </c>
      <c r="S37" s="600">
        <v>531177.86</v>
      </c>
      <c r="T37" s="600">
        <v>386227.25999999995</v>
      </c>
      <c r="U37" s="600">
        <v>303289.92</v>
      </c>
    </row>
    <row r="38" spans="1:21">
      <c r="A38" s="579" t="s">
        <v>337</v>
      </c>
      <c r="B38" t="s">
        <v>338</v>
      </c>
      <c r="C38" s="579" t="s">
        <v>369</v>
      </c>
      <c r="D38" t="s">
        <v>370</v>
      </c>
      <c r="E38" s="579" t="s">
        <v>293</v>
      </c>
      <c r="F38" s="579" t="s">
        <v>294</v>
      </c>
      <c r="G38" s="579" t="s">
        <v>295</v>
      </c>
      <c r="H38" s="600">
        <v>0</v>
      </c>
      <c r="I38" s="600">
        <v>0</v>
      </c>
      <c r="J38" s="600">
        <v>0</v>
      </c>
      <c r="K38" s="600">
        <v>0</v>
      </c>
      <c r="L38" s="600">
        <v>0</v>
      </c>
      <c r="M38" s="600">
        <v>0</v>
      </c>
      <c r="N38" s="600">
        <v>0</v>
      </c>
      <c r="O38" s="600">
        <v>0</v>
      </c>
      <c r="P38" s="600">
        <v>0</v>
      </c>
      <c r="Q38" s="600">
        <v>0</v>
      </c>
      <c r="R38" s="600">
        <v>12809352.82</v>
      </c>
      <c r="S38" s="600">
        <v>4932420.4400000004</v>
      </c>
      <c r="T38" s="600">
        <v>0</v>
      </c>
      <c r="U38" s="600">
        <v>0</v>
      </c>
    </row>
    <row r="39" spans="1:21">
      <c r="A39" s="579" t="s">
        <v>371</v>
      </c>
      <c r="B39" t="s">
        <v>372</v>
      </c>
      <c r="C39" s="579" t="s">
        <v>373</v>
      </c>
      <c r="D39" t="s">
        <v>374</v>
      </c>
      <c r="E39" s="579" t="s">
        <v>293</v>
      </c>
      <c r="F39" s="579" t="s">
        <v>294</v>
      </c>
      <c r="G39" s="579" t="s">
        <v>324</v>
      </c>
      <c r="H39" s="600">
        <v>5887880681.5500002</v>
      </c>
      <c r="I39" s="600">
        <v>7689580821.5500002</v>
      </c>
      <c r="J39" s="600">
        <v>12123669267.209999</v>
      </c>
      <c r="K39" s="600">
        <v>15156658320.019999</v>
      </c>
      <c r="L39" s="600">
        <v>16829039256.220001</v>
      </c>
      <c r="M39" s="600">
        <v>17701888982.010002</v>
      </c>
      <c r="N39" s="600">
        <v>15154849111.83</v>
      </c>
      <c r="O39" s="600">
        <v>14802135077.809999</v>
      </c>
      <c r="P39" s="600">
        <v>18056916104.18</v>
      </c>
      <c r="Q39" s="600">
        <v>19610295495.779999</v>
      </c>
      <c r="R39" s="600">
        <v>2035294209.5799999</v>
      </c>
      <c r="S39" s="600">
        <v>0</v>
      </c>
      <c r="T39" s="600">
        <v>0</v>
      </c>
      <c r="U39" s="600">
        <v>0</v>
      </c>
    </row>
    <row r="40" spans="1:21">
      <c r="A40" s="579" t="s">
        <v>371</v>
      </c>
      <c r="B40" t="s">
        <v>372</v>
      </c>
      <c r="C40" s="579" t="s">
        <v>375</v>
      </c>
      <c r="D40" t="s">
        <v>376</v>
      </c>
      <c r="E40" s="579" t="s">
        <v>293</v>
      </c>
      <c r="F40" s="579" t="s">
        <v>294</v>
      </c>
      <c r="G40" s="579" t="s">
        <v>19</v>
      </c>
      <c r="H40" s="600">
        <v>0</v>
      </c>
      <c r="I40" s="600">
        <v>0</v>
      </c>
      <c r="J40" s="600">
        <v>15753397653.48</v>
      </c>
      <c r="K40" s="600">
        <v>18998653347.07</v>
      </c>
      <c r="L40" s="600">
        <v>22835832842</v>
      </c>
      <c r="M40" s="600">
        <v>26084329215</v>
      </c>
      <c r="N40" s="600">
        <v>25169073057.790001</v>
      </c>
      <c r="O40" s="600">
        <v>36762902174.910004</v>
      </c>
      <c r="P40" s="600">
        <v>38340715856.150002</v>
      </c>
      <c r="Q40" s="600">
        <v>43850604562.479996</v>
      </c>
      <c r="R40" s="600">
        <v>838257431.27999997</v>
      </c>
      <c r="S40" s="600">
        <v>0</v>
      </c>
      <c r="T40" s="600">
        <v>0</v>
      </c>
      <c r="U40" s="600">
        <v>0</v>
      </c>
    </row>
    <row r="41" spans="1:21">
      <c r="A41" s="579" t="s">
        <v>371</v>
      </c>
      <c r="B41" t="s">
        <v>372</v>
      </c>
      <c r="C41" s="579" t="s">
        <v>377</v>
      </c>
      <c r="D41" t="s">
        <v>378</v>
      </c>
      <c r="E41" s="579" t="s">
        <v>293</v>
      </c>
      <c r="F41" s="579" t="s">
        <v>294</v>
      </c>
      <c r="G41" s="579" t="s">
        <v>19</v>
      </c>
      <c r="H41" s="600">
        <v>0</v>
      </c>
      <c r="I41" s="600">
        <v>0</v>
      </c>
      <c r="J41" s="600">
        <v>5802906403</v>
      </c>
      <c r="K41" s="600">
        <v>6913061131.9499998</v>
      </c>
      <c r="L41" s="600">
        <v>8292383162</v>
      </c>
      <c r="M41" s="600">
        <v>9454685764</v>
      </c>
      <c r="N41" s="600">
        <v>9068178682.8500004</v>
      </c>
      <c r="O41" s="600">
        <v>12852350898.809999</v>
      </c>
      <c r="P41" s="600">
        <v>13896251032.4</v>
      </c>
      <c r="Q41" s="600">
        <v>15581102862.48</v>
      </c>
      <c r="R41" s="600">
        <v>606005741.73000002</v>
      </c>
      <c r="S41" s="600">
        <v>0</v>
      </c>
      <c r="T41" s="600">
        <v>0</v>
      </c>
      <c r="U41" s="600">
        <v>0</v>
      </c>
    </row>
    <row r="42" spans="1:21">
      <c r="A42" s="579" t="s">
        <v>371</v>
      </c>
      <c r="B42" t="s">
        <v>372</v>
      </c>
      <c r="C42" s="579" t="s">
        <v>379</v>
      </c>
      <c r="D42" t="s">
        <v>380</v>
      </c>
      <c r="E42" s="579" t="s">
        <v>293</v>
      </c>
      <c r="F42" s="579" t="s">
        <v>294</v>
      </c>
      <c r="G42" s="579" t="s">
        <v>324</v>
      </c>
      <c r="H42" s="600">
        <v>4303052984</v>
      </c>
      <c r="I42" s="600">
        <v>4892584000</v>
      </c>
      <c r="J42" s="600">
        <v>5335845295</v>
      </c>
      <c r="K42" s="600">
        <v>5710124050.4499998</v>
      </c>
      <c r="L42" s="600">
        <v>5983694168</v>
      </c>
      <c r="M42" s="600">
        <v>6146424871.9499998</v>
      </c>
      <c r="N42" s="600">
        <v>5877457080.3000002</v>
      </c>
      <c r="O42" s="600">
        <v>6560192130.6800003</v>
      </c>
      <c r="P42" s="600">
        <v>7201622191.7200003</v>
      </c>
      <c r="Q42" s="600">
        <v>7788282994.1199999</v>
      </c>
      <c r="R42" s="600">
        <v>542757767.75999999</v>
      </c>
      <c r="S42" s="600">
        <v>0</v>
      </c>
      <c r="T42" s="600">
        <v>0</v>
      </c>
      <c r="U42" s="600">
        <v>0</v>
      </c>
    </row>
    <row r="43" spans="1:21">
      <c r="A43" s="579" t="s">
        <v>371</v>
      </c>
      <c r="B43" t="s">
        <v>372</v>
      </c>
      <c r="C43" s="579" t="s">
        <v>381</v>
      </c>
      <c r="D43" t="s">
        <v>382</v>
      </c>
      <c r="E43" s="579" t="s">
        <v>293</v>
      </c>
      <c r="F43" s="579" t="s">
        <v>294</v>
      </c>
      <c r="G43" s="579" t="s">
        <v>295</v>
      </c>
      <c r="H43" s="600">
        <v>334506944.10000002</v>
      </c>
      <c r="I43" s="600">
        <v>7387302.0099999998</v>
      </c>
      <c r="J43" s="600">
        <v>258258997.88</v>
      </c>
      <c r="K43" s="600">
        <v>46118705.280000001</v>
      </c>
      <c r="L43" s="600">
        <v>180148177.75999999</v>
      </c>
      <c r="M43" s="600">
        <v>115300658.09</v>
      </c>
      <c r="N43" s="600">
        <v>62398318.049999997</v>
      </c>
      <c r="O43" s="600">
        <v>14669671.67</v>
      </c>
      <c r="P43" s="600">
        <v>2240108.06</v>
      </c>
      <c r="Q43" s="600">
        <v>418786.54000000004</v>
      </c>
      <c r="R43" s="600">
        <v>23162523.02</v>
      </c>
      <c r="S43" s="600">
        <v>0</v>
      </c>
      <c r="T43" s="600">
        <v>0</v>
      </c>
      <c r="U43" s="600">
        <v>60625.99</v>
      </c>
    </row>
    <row r="44" spans="1:21">
      <c r="A44" s="579" t="s">
        <v>371</v>
      </c>
      <c r="B44" t="s">
        <v>372</v>
      </c>
      <c r="C44" s="579" t="s">
        <v>343</v>
      </c>
      <c r="D44" t="s">
        <v>344</v>
      </c>
      <c r="E44" s="579" t="s">
        <v>293</v>
      </c>
      <c r="F44" s="579" t="s">
        <v>294</v>
      </c>
      <c r="G44" s="579" t="s">
        <v>295</v>
      </c>
      <c r="H44" s="600">
        <v>0</v>
      </c>
      <c r="I44" s="600">
        <v>0</v>
      </c>
      <c r="J44" s="600">
        <v>267769902.94999999</v>
      </c>
      <c r="K44" s="600">
        <v>283212329.55000001</v>
      </c>
      <c r="L44" s="600">
        <v>334620842.61000001</v>
      </c>
      <c r="M44" s="600">
        <v>378024644.63</v>
      </c>
      <c r="N44" s="600">
        <v>345237031.11000001</v>
      </c>
      <c r="O44" s="600">
        <v>342010415.48000002</v>
      </c>
      <c r="P44" s="600">
        <v>417121149.46999997</v>
      </c>
      <c r="Q44" s="600">
        <v>398723567.40999997</v>
      </c>
      <c r="R44" s="600">
        <v>42286029.5</v>
      </c>
      <c r="S44" s="600">
        <v>0</v>
      </c>
      <c r="T44" s="600">
        <v>0</v>
      </c>
      <c r="U44" s="600">
        <v>0</v>
      </c>
    </row>
    <row r="45" spans="1:21">
      <c r="A45" s="579" t="s">
        <v>371</v>
      </c>
      <c r="B45" t="s">
        <v>372</v>
      </c>
      <c r="C45" s="579" t="s">
        <v>369</v>
      </c>
      <c r="D45" t="s">
        <v>370</v>
      </c>
      <c r="E45" s="579" t="s">
        <v>293</v>
      </c>
      <c r="F45" s="579" t="s">
        <v>294</v>
      </c>
      <c r="G45" s="579" t="s">
        <v>295</v>
      </c>
      <c r="H45" s="600">
        <v>0</v>
      </c>
      <c r="I45" s="600">
        <v>0</v>
      </c>
      <c r="J45" s="600">
        <v>0</v>
      </c>
      <c r="K45" s="600">
        <v>0</v>
      </c>
      <c r="L45" s="600">
        <v>2791935.7</v>
      </c>
      <c r="M45" s="600">
        <v>104712508.48999999</v>
      </c>
      <c r="N45" s="600">
        <v>75214708.099999994</v>
      </c>
      <c r="O45" s="600">
        <v>79545348.010000005</v>
      </c>
      <c r="P45" s="600">
        <v>43727759.480000004</v>
      </c>
      <c r="Q45" s="600">
        <v>16806510.800000001</v>
      </c>
      <c r="R45" s="600">
        <v>1765915.68</v>
      </c>
      <c r="S45" s="600">
        <v>0</v>
      </c>
      <c r="T45" s="600">
        <v>0</v>
      </c>
      <c r="U45" s="600">
        <v>0</v>
      </c>
    </row>
    <row r="46" spans="1:21">
      <c r="A46" s="579" t="s">
        <v>371</v>
      </c>
      <c r="B46" t="s">
        <v>372</v>
      </c>
      <c r="C46" s="579" t="s">
        <v>347</v>
      </c>
      <c r="D46" t="s">
        <v>348</v>
      </c>
      <c r="E46" s="579" t="s">
        <v>293</v>
      </c>
      <c r="F46" s="579" t="s">
        <v>294</v>
      </c>
      <c r="G46" s="579" t="s">
        <v>295</v>
      </c>
      <c r="H46" s="600">
        <v>8295536.3700000001</v>
      </c>
      <c r="I46" s="600">
        <v>500000</v>
      </c>
      <c r="J46" s="600">
        <v>18356812.559999999</v>
      </c>
      <c r="K46" s="600">
        <v>10121985.4</v>
      </c>
      <c r="L46" s="600">
        <v>57050425.410000004</v>
      </c>
      <c r="M46" s="600">
        <v>104020174.42</v>
      </c>
      <c r="N46" s="600">
        <v>76398688.939999998</v>
      </c>
      <c r="O46" s="600">
        <v>83938686.459999993</v>
      </c>
      <c r="P46" s="600">
        <v>84861479.090000004</v>
      </c>
      <c r="Q46" s="600">
        <v>108447996.98</v>
      </c>
      <c r="R46" s="600">
        <v>14585206.140000001</v>
      </c>
      <c r="S46" s="600">
        <v>0</v>
      </c>
      <c r="T46" s="600">
        <v>0</v>
      </c>
      <c r="U46" s="600">
        <v>0</v>
      </c>
    </row>
    <row r="47" spans="1:21">
      <c r="A47" s="579" t="s">
        <v>371</v>
      </c>
      <c r="B47" t="s">
        <v>372</v>
      </c>
      <c r="C47" s="579" t="s">
        <v>383</v>
      </c>
      <c r="D47" t="s">
        <v>384</v>
      </c>
      <c r="E47" s="579" t="s">
        <v>293</v>
      </c>
      <c r="F47" s="579" t="s">
        <v>294</v>
      </c>
      <c r="G47" s="579" t="s">
        <v>324</v>
      </c>
      <c r="H47" s="600">
        <v>1295641815.5899999</v>
      </c>
      <c r="I47" s="600">
        <v>1193197367.48</v>
      </c>
      <c r="J47" s="600">
        <v>201051426.40000001</v>
      </c>
      <c r="K47" s="600">
        <v>188408438.84</v>
      </c>
      <c r="L47" s="600">
        <v>200489792.44</v>
      </c>
      <c r="M47" s="600">
        <v>256247820.14000002</v>
      </c>
      <c r="N47" s="600">
        <v>233832044</v>
      </c>
      <c r="O47" s="600">
        <v>483360687.64999998</v>
      </c>
      <c r="P47" s="600">
        <v>656254723.88999999</v>
      </c>
      <c r="Q47" s="600">
        <v>799409244.93000007</v>
      </c>
      <c r="R47" s="600">
        <v>47400478.880000003</v>
      </c>
      <c r="S47" s="600">
        <v>0</v>
      </c>
      <c r="T47" s="600">
        <v>0</v>
      </c>
      <c r="U47" s="600">
        <v>0</v>
      </c>
    </row>
    <row r="48" spans="1:21">
      <c r="A48" s="579" t="s">
        <v>371</v>
      </c>
      <c r="B48" t="s">
        <v>372</v>
      </c>
      <c r="C48" s="579" t="s">
        <v>385</v>
      </c>
      <c r="D48" t="s">
        <v>386</v>
      </c>
      <c r="E48" s="579" t="s">
        <v>293</v>
      </c>
      <c r="F48" s="579" t="s">
        <v>294</v>
      </c>
      <c r="G48" s="579" t="s">
        <v>295</v>
      </c>
      <c r="H48" s="600">
        <v>0</v>
      </c>
      <c r="I48" s="600">
        <v>0</v>
      </c>
      <c r="J48" s="600">
        <v>0</v>
      </c>
      <c r="K48" s="600">
        <v>0</v>
      </c>
      <c r="L48" s="600">
        <v>90067597.5</v>
      </c>
      <c r="M48" s="600">
        <v>20983713.510000002</v>
      </c>
      <c r="N48" s="600">
        <v>872302.5</v>
      </c>
      <c r="O48" s="600">
        <v>114690</v>
      </c>
      <c r="P48" s="600">
        <v>167191.49</v>
      </c>
      <c r="Q48" s="600">
        <v>0</v>
      </c>
      <c r="R48" s="600">
        <v>0</v>
      </c>
      <c r="S48" s="600">
        <v>0</v>
      </c>
      <c r="T48" s="600">
        <v>0</v>
      </c>
      <c r="U48" s="600">
        <v>0</v>
      </c>
    </row>
    <row r="49" spans="1:21">
      <c r="A49" s="579" t="s">
        <v>371</v>
      </c>
      <c r="B49" t="s">
        <v>372</v>
      </c>
      <c r="C49" s="579" t="s">
        <v>387</v>
      </c>
      <c r="D49" t="s">
        <v>388</v>
      </c>
      <c r="E49" s="579" t="s">
        <v>293</v>
      </c>
      <c r="F49" s="579" t="s">
        <v>294</v>
      </c>
      <c r="G49" s="579" t="s">
        <v>295</v>
      </c>
      <c r="H49" s="600">
        <v>0</v>
      </c>
      <c r="I49" s="600">
        <v>0</v>
      </c>
      <c r="J49" s="600">
        <v>0</v>
      </c>
      <c r="K49" s="600">
        <v>0</v>
      </c>
      <c r="L49" s="600">
        <v>10808179.939999999</v>
      </c>
      <c r="M49" s="600">
        <v>14692350.210000001</v>
      </c>
      <c r="N49" s="600">
        <v>260670.03999999998</v>
      </c>
      <c r="O49" s="600">
        <v>660.8</v>
      </c>
      <c r="P49" s="600">
        <v>0</v>
      </c>
      <c r="Q49" s="600">
        <v>0</v>
      </c>
      <c r="R49" s="600">
        <v>0</v>
      </c>
      <c r="S49" s="600">
        <v>0</v>
      </c>
      <c r="T49" s="600">
        <v>0</v>
      </c>
      <c r="U49" s="600">
        <v>0</v>
      </c>
    </row>
    <row r="50" spans="1:21">
      <c r="A50" s="579" t="s">
        <v>371</v>
      </c>
      <c r="B50" t="s">
        <v>372</v>
      </c>
      <c r="C50" s="579" t="s">
        <v>389</v>
      </c>
      <c r="D50" t="s">
        <v>390</v>
      </c>
      <c r="E50" s="579" t="s">
        <v>293</v>
      </c>
      <c r="F50" s="579" t="s">
        <v>294</v>
      </c>
      <c r="G50" s="579" t="s">
        <v>295</v>
      </c>
      <c r="H50" s="600">
        <v>0</v>
      </c>
      <c r="I50" s="600">
        <v>0</v>
      </c>
      <c r="J50" s="600">
        <v>5138662.76</v>
      </c>
      <c r="K50" s="600">
        <v>6380492.4400000004</v>
      </c>
      <c r="L50" s="600">
        <v>5369967.3600000003</v>
      </c>
      <c r="M50" s="600">
        <v>11643799.210000001</v>
      </c>
      <c r="N50" s="600">
        <v>40243.199999999997</v>
      </c>
      <c r="O50" s="600">
        <v>0</v>
      </c>
      <c r="P50" s="600">
        <v>0</v>
      </c>
      <c r="Q50" s="600">
        <v>0</v>
      </c>
      <c r="R50" s="600">
        <v>0</v>
      </c>
      <c r="S50" s="600">
        <v>0</v>
      </c>
      <c r="T50" s="600">
        <v>0</v>
      </c>
      <c r="U50" s="600">
        <v>0</v>
      </c>
    </row>
    <row r="51" spans="1:21">
      <c r="A51" s="579" t="s">
        <v>371</v>
      </c>
      <c r="B51" t="s">
        <v>372</v>
      </c>
      <c r="C51" s="579" t="s">
        <v>391</v>
      </c>
      <c r="D51" t="s">
        <v>392</v>
      </c>
      <c r="E51" s="579" t="s">
        <v>293</v>
      </c>
      <c r="F51" s="579" t="s">
        <v>294</v>
      </c>
      <c r="G51" s="579" t="s">
        <v>19</v>
      </c>
      <c r="H51" s="600">
        <v>0</v>
      </c>
      <c r="I51" s="600">
        <v>0</v>
      </c>
      <c r="J51" s="600">
        <v>294005336</v>
      </c>
      <c r="K51" s="600">
        <v>315931161.48000002</v>
      </c>
      <c r="L51" s="600">
        <v>400681239.62</v>
      </c>
      <c r="M51" s="600">
        <v>464848926</v>
      </c>
      <c r="N51" s="600">
        <v>455863973.93000001</v>
      </c>
      <c r="O51" s="600">
        <v>571794308.16999996</v>
      </c>
      <c r="P51" s="600">
        <v>629702398.91999996</v>
      </c>
      <c r="Q51" s="600">
        <v>647535276.8900001</v>
      </c>
      <c r="R51" s="600">
        <v>18436058.289999999</v>
      </c>
      <c r="S51" s="600">
        <v>0</v>
      </c>
      <c r="T51" s="600">
        <v>0</v>
      </c>
      <c r="U51" s="600">
        <v>0</v>
      </c>
    </row>
    <row r="52" spans="1:21">
      <c r="A52" s="579" t="s">
        <v>371</v>
      </c>
      <c r="B52" t="s">
        <v>372</v>
      </c>
      <c r="C52" s="579" t="s">
        <v>393</v>
      </c>
      <c r="D52" t="s">
        <v>394</v>
      </c>
      <c r="E52" s="579" t="s">
        <v>293</v>
      </c>
      <c r="F52" s="579" t="s">
        <v>294</v>
      </c>
      <c r="G52" s="579" t="s">
        <v>324</v>
      </c>
      <c r="H52" s="600">
        <v>16062157.029999999</v>
      </c>
      <c r="I52" s="600">
        <v>19941336.48</v>
      </c>
      <c r="J52" s="600">
        <v>21353346.080000002</v>
      </c>
      <c r="K52" s="600">
        <v>35695474.799999997</v>
      </c>
      <c r="L52" s="600">
        <v>34859468.560000002</v>
      </c>
      <c r="M52" s="600">
        <v>40578341.380000003</v>
      </c>
      <c r="N52" s="600">
        <v>37212884.68</v>
      </c>
      <c r="O52" s="600">
        <v>43321766.719999999</v>
      </c>
      <c r="P52" s="600">
        <v>46231537.019999996</v>
      </c>
      <c r="Q52" s="600">
        <v>47858262.390000001</v>
      </c>
      <c r="R52" s="600">
        <v>3154327.68</v>
      </c>
      <c r="S52" s="600">
        <v>0</v>
      </c>
      <c r="T52" s="600">
        <v>0</v>
      </c>
      <c r="U52" s="600">
        <v>0</v>
      </c>
    </row>
    <row r="53" spans="1:21">
      <c r="A53" s="579" t="s">
        <v>371</v>
      </c>
      <c r="B53" t="s">
        <v>372</v>
      </c>
      <c r="C53" s="579" t="s">
        <v>395</v>
      </c>
      <c r="D53" t="s">
        <v>396</v>
      </c>
      <c r="E53" s="579" t="s">
        <v>293</v>
      </c>
      <c r="F53" s="579" t="s">
        <v>294</v>
      </c>
      <c r="G53" s="579" t="s">
        <v>19</v>
      </c>
      <c r="H53" s="600">
        <v>0</v>
      </c>
      <c r="I53" s="600">
        <v>0</v>
      </c>
      <c r="J53" s="600">
        <v>633831739</v>
      </c>
      <c r="K53" s="600">
        <v>746492578.95000005</v>
      </c>
      <c r="L53" s="600">
        <v>764196491.11000001</v>
      </c>
      <c r="M53" s="600">
        <v>793958753</v>
      </c>
      <c r="N53" s="600">
        <v>790731195.42999995</v>
      </c>
      <c r="O53" s="600">
        <v>856454792.24000001</v>
      </c>
      <c r="P53" s="600">
        <v>1119399154.5799999</v>
      </c>
      <c r="Q53" s="600">
        <v>1330411898.1600001</v>
      </c>
      <c r="R53" s="600">
        <v>126527750.19</v>
      </c>
      <c r="S53" s="600">
        <v>0</v>
      </c>
      <c r="T53" s="600">
        <v>0</v>
      </c>
      <c r="U53" s="600">
        <v>0</v>
      </c>
    </row>
    <row r="54" spans="1:21">
      <c r="A54" s="579" t="s">
        <v>371</v>
      </c>
      <c r="B54" t="s">
        <v>372</v>
      </c>
      <c r="C54" s="579" t="s">
        <v>353</v>
      </c>
      <c r="D54" t="s">
        <v>354</v>
      </c>
      <c r="E54" s="579" t="s">
        <v>293</v>
      </c>
      <c r="F54" s="579" t="s">
        <v>294</v>
      </c>
      <c r="G54" s="579" t="s">
        <v>295</v>
      </c>
      <c r="H54" s="600">
        <v>53938577.570000008</v>
      </c>
      <c r="I54" s="600">
        <v>53614586.300000004</v>
      </c>
      <c r="J54" s="600">
        <v>51661948.150000006</v>
      </c>
      <c r="K54" s="600">
        <v>30499742.27</v>
      </c>
      <c r="L54" s="600">
        <v>17202760.780000001</v>
      </c>
      <c r="M54" s="600">
        <v>16678244.810000001</v>
      </c>
      <c r="N54" s="600">
        <v>14389189.48</v>
      </c>
      <c r="O54" s="600">
        <v>19123260.350000001</v>
      </c>
      <c r="P54" s="600">
        <v>24590980.620000001</v>
      </c>
      <c r="Q54" s="600">
        <v>20010074.010000002</v>
      </c>
      <c r="R54" s="600">
        <v>255019.27</v>
      </c>
      <c r="S54" s="600">
        <v>445.41</v>
      </c>
      <c r="T54" s="600">
        <v>0</v>
      </c>
      <c r="U54" s="600">
        <v>0</v>
      </c>
    </row>
    <row r="55" spans="1:21">
      <c r="A55" s="579" t="s">
        <v>371</v>
      </c>
      <c r="B55" t="s">
        <v>372</v>
      </c>
      <c r="C55" s="579" t="s">
        <v>397</v>
      </c>
      <c r="D55" t="s">
        <v>398</v>
      </c>
      <c r="E55" s="579" t="s">
        <v>293</v>
      </c>
      <c r="F55" s="579" t="s">
        <v>294</v>
      </c>
      <c r="G55" s="579" t="s">
        <v>324</v>
      </c>
      <c r="H55" s="600">
        <v>12029478.16</v>
      </c>
      <c r="I55" s="600">
        <v>11727230.640000001</v>
      </c>
      <c r="J55" s="600">
        <v>12414827.220000001</v>
      </c>
      <c r="K55" s="600">
        <v>10904439.699999999</v>
      </c>
      <c r="L55" s="600">
        <v>8741242.1500000004</v>
      </c>
      <c r="M55" s="600">
        <v>6672779</v>
      </c>
      <c r="N55" s="600">
        <v>4857310.6900000004</v>
      </c>
      <c r="O55" s="600">
        <v>6120991.5300000003</v>
      </c>
      <c r="P55" s="600">
        <v>3317520.44</v>
      </c>
      <c r="Q55" s="600">
        <v>2959925.0199999996</v>
      </c>
      <c r="R55" s="600">
        <v>188411.88</v>
      </c>
      <c r="S55" s="600">
        <v>0</v>
      </c>
      <c r="T55" s="600">
        <v>0</v>
      </c>
      <c r="U55" s="600">
        <v>0</v>
      </c>
    </row>
    <row r="56" spans="1:21">
      <c r="A56" s="579" t="s">
        <v>371</v>
      </c>
      <c r="B56" t="s">
        <v>372</v>
      </c>
      <c r="C56" s="579" t="s">
        <v>302</v>
      </c>
      <c r="D56" t="s">
        <v>303</v>
      </c>
      <c r="E56" s="579" t="s">
        <v>293</v>
      </c>
      <c r="F56" s="579" t="s">
        <v>294</v>
      </c>
      <c r="G56" s="579" t="s">
        <v>295</v>
      </c>
      <c r="H56" s="600">
        <v>0</v>
      </c>
      <c r="I56" s="600">
        <v>0</v>
      </c>
      <c r="J56" s="600">
        <v>2884342.68</v>
      </c>
      <c r="K56" s="600">
        <v>4906007.55</v>
      </c>
      <c r="L56" s="600">
        <v>1706654.6300000001</v>
      </c>
      <c r="M56" s="600">
        <v>2305680.0499999998</v>
      </c>
      <c r="N56" s="600">
        <v>744598.65</v>
      </c>
      <c r="O56" s="600">
        <v>2120591.11</v>
      </c>
      <c r="P56" s="600">
        <v>5093752.3</v>
      </c>
      <c r="Q56" s="600">
        <v>3486207.2</v>
      </c>
      <c r="R56" s="600">
        <v>6546.04</v>
      </c>
      <c r="S56" s="600">
        <v>0</v>
      </c>
      <c r="T56" s="600">
        <v>0</v>
      </c>
      <c r="U56" s="600">
        <v>0</v>
      </c>
    </row>
    <row r="57" spans="1:21">
      <c r="A57" s="579" t="s">
        <v>371</v>
      </c>
      <c r="B57" t="s">
        <v>372</v>
      </c>
      <c r="C57" s="579" t="s">
        <v>399</v>
      </c>
      <c r="D57" t="s">
        <v>400</v>
      </c>
      <c r="E57" s="579" t="s">
        <v>293</v>
      </c>
      <c r="F57" s="579" t="s">
        <v>294</v>
      </c>
      <c r="G57" s="579" t="s">
        <v>295</v>
      </c>
      <c r="H57" s="600">
        <v>0</v>
      </c>
      <c r="I57" s="600">
        <v>0</v>
      </c>
      <c r="J57" s="600">
        <v>223540.64</v>
      </c>
      <c r="K57" s="600">
        <v>189641.16</v>
      </c>
      <c r="L57" s="600">
        <v>30077.55</v>
      </c>
      <c r="M57" s="600">
        <v>92253.6</v>
      </c>
      <c r="N57" s="600">
        <v>36.19</v>
      </c>
      <c r="O57" s="600">
        <v>0</v>
      </c>
      <c r="P57" s="600">
        <v>0</v>
      </c>
      <c r="Q57" s="600">
        <v>0</v>
      </c>
      <c r="R57" s="600">
        <v>0</v>
      </c>
      <c r="S57" s="600">
        <v>0</v>
      </c>
      <c r="T57" s="600">
        <v>0</v>
      </c>
      <c r="U57" s="600">
        <v>0</v>
      </c>
    </row>
    <row r="58" spans="1:21">
      <c r="A58" s="579" t="s">
        <v>371</v>
      </c>
      <c r="B58" t="s">
        <v>372</v>
      </c>
      <c r="C58" s="579" t="s">
        <v>401</v>
      </c>
      <c r="D58" t="s">
        <v>344</v>
      </c>
      <c r="E58" s="579" t="s">
        <v>293</v>
      </c>
      <c r="F58" s="579" t="s">
        <v>294</v>
      </c>
      <c r="G58" s="579" t="s">
        <v>295</v>
      </c>
      <c r="H58" s="600">
        <v>289991270.13000005</v>
      </c>
      <c r="I58" s="600">
        <v>289884045.46000004</v>
      </c>
      <c r="J58" s="600">
        <v>45737788.859999999</v>
      </c>
      <c r="K58" s="600">
        <v>0</v>
      </c>
      <c r="L58" s="600">
        <v>0</v>
      </c>
      <c r="M58" s="600">
        <v>0</v>
      </c>
      <c r="N58" s="600">
        <v>0</v>
      </c>
      <c r="O58" s="600">
        <v>0</v>
      </c>
      <c r="P58" s="600">
        <v>0</v>
      </c>
      <c r="Q58" s="600">
        <v>0</v>
      </c>
      <c r="R58" s="600">
        <v>0</v>
      </c>
      <c r="S58" s="600">
        <v>0</v>
      </c>
      <c r="T58" s="600">
        <v>0</v>
      </c>
      <c r="U58" s="600">
        <v>0</v>
      </c>
    </row>
    <row r="59" spans="1:21">
      <c r="A59" s="579" t="s">
        <v>371</v>
      </c>
      <c r="B59" t="s">
        <v>372</v>
      </c>
      <c r="C59" s="579" t="s">
        <v>298</v>
      </c>
      <c r="D59" t="s">
        <v>299</v>
      </c>
      <c r="E59" s="579" t="s">
        <v>293</v>
      </c>
      <c r="F59" s="579" t="s">
        <v>294</v>
      </c>
      <c r="G59" s="579" t="s">
        <v>295</v>
      </c>
      <c r="H59" s="600">
        <v>0</v>
      </c>
      <c r="I59" s="600">
        <v>2666086.71</v>
      </c>
      <c r="J59" s="600">
        <v>1000000</v>
      </c>
      <c r="K59" s="600">
        <v>99956.37</v>
      </c>
      <c r="L59" s="600">
        <v>0</v>
      </c>
      <c r="M59" s="600">
        <v>0</v>
      </c>
      <c r="N59" s="600">
        <v>0</v>
      </c>
      <c r="O59" s="600">
        <v>0</v>
      </c>
      <c r="P59" s="600">
        <v>0</v>
      </c>
      <c r="Q59" s="600">
        <v>0</v>
      </c>
      <c r="R59" s="600">
        <v>0</v>
      </c>
      <c r="S59" s="600">
        <v>0</v>
      </c>
      <c r="T59" s="600">
        <v>0</v>
      </c>
      <c r="U59" s="600">
        <v>0</v>
      </c>
    </row>
    <row r="60" spans="1:21">
      <c r="A60" s="579" t="s">
        <v>371</v>
      </c>
      <c r="B60" t="s">
        <v>372</v>
      </c>
      <c r="C60" s="579" t="s">
        <v>349</v>
      </c>
      <c r="D60" t="s">
        <v>350</v>
      </c>
      <c r="E60" s="579" t="s">
        <v>293</v>
      </c>
      <c r="F60" s="579" t="s">
        <v>294</v>
      </c>
      <c r="G60" s="579" t="s">
        <v>324</v>
      </c>
      <c r="H60" s="600">
        <v>9080411.0999999996</v>
      </c>
      <c r="I60" s="600">
        <v>7226285.7400000002</v>
      </c>
      <c r="J60" s="600">
        <v>4453649.88</v>
      </c>
      <c r="K60" s="600">
        <v>7223374.6799999997</v>
      </c>
      <c r="L60" s="600">
        <v>5596900.0899999999</v>
      </c>
      <c r="M60" s="600">
        <v>6636289.1200000001</v>
      </c>
      <c r="N60" s="600">
        <v>6944157.9900000002</v>
      </c>
      <c r="O60" s="600">
        <v>11721974.559999999</v>
      </c>
      <c r="P60" s="600">
        <v>14061611.16</v>
      </c>
      <c r="Q60" s="600">
        <v>12606100.789999999</v>
      </c>
      <c r="R60" s="600">
        <v>6426828.8200000003</v>
      </c>
      <c r="S60" s="600">
        <v>34472.69</v>
      </c>
      <c r="T60" s="600">
        <v>0</v>
      </c>
      <c r="U60" s="600">
        <v>0</v>
      </c>
    </row>
    <row r="61" spans="1:21">
      <c r="A61" s="579" t="s">
        <v>371</v>
      </c>
      <c r="B61" t="s">
        <v>372</v>
      </c>
      <c r="C61" s="579" t="s">
        <v>402</v>
      </c>
      <c r="D61" t="s">
        <v>403</v>
      </c>
      <c r="E61" s="579" t="s">
        <v>293</v>
      </c>
      <c r="F61" s="579" t="s">
        <v>294</v>
      </c>
      <c r="G61" s="579" t="s">
        <v>295</v>
      </c>
      <c r="H61" s="600">
        <v>139140.60999999999</v>
      </c>
      <c r="I61" s="600">
        <v>14974.03</v>
      </c>
      <c r="J61" s="600">
        <v>99715.73</v>
      </c>
      <c r="K61" s="600">
        <v>205271.55</v>
      </c>
      <c r="L61" s="600">
        <v>95344.92</v>
      </c>
      <c r="M61" s="600">
        <v>146504.35999999999</v>
      </c>
      <c r="N61" s="600">
        <v>538979.93000000005</v>
      </c>
      <c r="O61" s="600">
        <v>1111370.6000000001</v>
      </c>
      <c r="P61" s="600">
        <v>1834713.4300000002</v>
      </c>
      <c r="Q61" s="600">
        <v>833024.86</v>
      </c>
      <c r="R61" s="600">
        <v>12185.21</v>
      </c>
      <c r="S61" s="600">
        <v>135</v>
      </c>
      <c r="T61" s="600">
        <v>0</v>
      </c>
      <c r="U61" s="600">
        <v>0</v>
      </c>
    </row>
    <row r="62" spans="1:21">
      <c r="A62" s="579" t="s">
        <v>371</v>
      </c>
      <c r="B62" t="s">
        <v>372</v>
      </c>
      <c r="C62" s="579" t="s">
        <v>404</v>
      </c>
      <c r="D62" t="s">
        <v>405</v>
      </c>
      <c r="E62" s="579" t="s">
        <v>293</v>
      </c>
      <c r="F62" s="579" t="s">
        <v>294</v>
      </c>
      <c r="G62" s="579" t="s">
        <v>295</v>
      </c>
      <c r="H62" s="600">
        <v>50054650.769999996</v>
      </c>
      <c r="I62" s="600">
        <v>73044143.549999997</v>
      </c>
      <c r="J62" s="600">
        <v>81669463.140000001</v>
      </c>
      <c r="K62" s="600">
        <v>136515688.59</v>
      </c>
      <c r="L62" s="600">
        <v>16116448.059999999</v>
      </c>
      <c r="M62" s="600">
        <v>4384059.91</v>
      </c>
      <c r="N62" s="600">
        <v>5444530.0899999999</v>
      </c>
      <c r="O62" s="600">
        <v>5032640.62</v>
      </c>
      <c r="P62" s="600">
        <v>6384055.5800000001</v>
      </c>
      <c r="Q62" s="600">
        <v>6534450.6799999997</v>
      </c>
      <c r="R62" s="600">
        <v>90189.93</v>
      </c>
      <c r="S62" s="600">
        <v>0</v>
      </c>
      <c r="T62" s="600">
        <v>0</v>
      </c>
      <c r="U62" s="600">
        <v>0</v>
      </c>
    </row>
    <row r="63" spans="1:21">
      <c r="A63" s="579" t="s">
        <v>371</v>
      </c>
      <c r="B63" t="s">
        <v>372</v>
      </c>
      <c r="C63" s="579" t="s">
        <v>355</v>
      </c>
      <c r="D63" t="s">
        <v>356</v>
      </c>
      <c r="E63" s="579" t="s">
        <v>293</v>
      </c>
      <c r="F63" s="579" t="s">
        <v>294</v>
      </c>
      <c r="G63" s="579" t="s">
        <v>295</v>
      </c>
      <c r="H63" s="600">
        <v>288034732.85000002</v>
      </c>
      <c r="I63" s="600">
        <v>302948324.25</v>
      </c>
      <c r="J63" s="600">
        <v>281794544.08000004</v>
      </c>
      <c r="K63" s="600">
        <v>346004437.15999991</v>
      </c>
      <c r="L63" s="600">
        <v>320808690.37</v>
      </c>
      <c r="M63" s="600">
        <v>422910779.76999998</v>
      </c>
      <c r="N63" s="600">
        <v>424291575.54000002</v>
      </c>
      <c r="O63" s="600">
        <v>478777110.38000005</v>
      </c>
      <c r="P63" s="600">
        <v>538362129.12</v>
      </c>
      <c r="Q63" s="600">
        <v>585362181.71000004</v>
      </c>
      <c r="R63" s="600">
        <v>57943242.640000001</v>
      </c>
      <c r="S63" s="600">
        <v>986065.88</v>
      </c>
      <c r="T63" s="600">
        <v>154955.68</v>
      </c>
      <c r="U63" s="600">
        <v>603.5</v>
      </c>
    </row>
    <row r="64" spans="1:21">
      <c r="A64" s="579" t="s">
        <v>371</v>
      </c>
      <c r="B64" t="s">
        <v>372</v>
      </c>
      <c r="C64" s="579" t="s">
        <v>406</v>
      </c>
      <c r="D64" t="s">
        <v>407</v>
      </c>
      <c r="E64" s="579" t="s">
        <v>293</v>
      </c>
      <c r="F64" s="579" t="s">
        <v>294</v>
      </c>
      <c r="G64" s="579" t="s">
        <v>295</v>
      </c>
      <c r="H64" s="600">
        <v>0</v>
      </c>
      <c r="I64" s="600">
        <v>0</v>
      </c>
      <c r="J64" s="600">
        <v>0</v>
      </c>
      <c r="K64" s="600">
        <v>0</v>
      </c>
      <c r="L64" s="600">
        <v>0</v>
      </c>
      <c r="M64" s="600">
        <v>0</v>
      </c>
      <c r="N64" s="600">
        <v>1427090.92</v>
      </c>
      <c r="O64" s="600">
        <v>1372177.7699999998</v>
      </c>
      <c r="P64" s="600">
        <v>386295.64</v>
      </c>
      <c r="Q64" s="600">
        <v>11183.01</v>
      </c>
      <c r="R64" s="600">
        <v>92.72</v>
      </c>
      <c r="S64" s="600">
        <v>0</v>
      </c>
      <c r="T64" s="600">
        <v>0</v>
      </c>
      <c r="U64" s="600">
        <v>0</v>
      </c>
    </row>
    <row r="65" spans="1:21">
      <c r="A65" s="579" t="s">
        <v>371</v>
      </c>
      <c r="B65" t="s">
        <v>372</v>
      </c>
      <c r="C65" s="579" t="s">
        <v>408</v>
      </c>
      <c r="D65" t="s">
        <v>409</v>
      </c>
      <c r="E65" s="579" t="s">
        <v>293</v>
      </c>
      <c r="F65" s="579" t="s">
        <v>294</v>
      </c>
      <c r="G65" s="579" t="s">
        <v>295</v>
      </c>
      <c r="H65" s="600">
        <v>0</v>
      </c>
      <c r="I65" s="600">
        <v>0</v>
      </c>
      <c r="J65" s="600">
        <v>0</v>
      </c>
      <c r="K65" s="600">
        <v>92444505.299999997</v>
      </c>
      <c r="L65" s="600">
        <v>20877907.120000001</v>
      </c>
      <c r="M65" s="600">
        <v>297261.06</v>
      </c>
      <c r="N65" s="600">
        <v>3356120.27</v>
      </c>
      <c r="O65" s="600">
        <v>766505.15</v>
      </c>
      <c r="P65" s="600">
        <v>0</v>
      </c>
      <c r="Q65" s="600">
        <v>0</v>
      </c>
      <c r="R65" s="600">
        <v>0</v>
      </c>
      <c r="S65" s="600">
        <v>0</v>
      </c>
      <c r="T65" s="600">
        <v>0</v>
      </c>
      <c r="U65" s="600">
        <v>0</v>
      </c>
    </row>
    <row r="66" spans="1:21">
      <c r="A66" s="579" t="s">
        <v>371</v>
      </c>
      <c r="B66" t="s">
        <v>372</v>
      </c>
      <c r="C66" s="579" t="s">
        <v>363</v>
      </c>
      <c r="D66" t="s">
        <v>364</v>
      </c>
      <c r="E66" s="579" t="s">
        <v>293</v>
      </c>
      <c r="F66" s="579" t="s">
        <v>294</v>
      </c>
      <c r="G66" s="579" t="s">
        <v>324</v>
      </c>
      <c r="H66" s="600">
        <v>0</v>
      </c>
      <c r="I66" s="600">
        <v>0</v>
      </c>
      <c r="J66" s="600">
        <v>0</v>
      </c>
      <c r="K66" s="600">
        <v>0</v>
      </c>
      <c r="L66" s="600">
        <v>0</v>
      </c>
      <c r="M66" s="600">
        <v>0</v>
      </c>
      <c r="N66" s="600">
        <v>550424796.9000001</v>
      </c>
      <c r="O66" s="600">
        <v>1180039804.1099999</v>
      </c>
      <c r="P66" s="600">
        <v>1325184275.3299999</v>
      </c>
      <c r="Q66" s="600">
        <v>1499101980.1399999</v>
      </c>
      <c r="R66" s="600">
        <v>0</v>
      </c>
      <c r="S66" s="600">
        <v>0</v>
      </c>
      <c r="T66" s="600">
        <v>0</v>
      </c>
      <c r="U66" s="600">
        <v>0</v>
      </c>
    </row>
    <row r="67" spans="1:21">
      <c r="A67" s="579" t="s">
        <v>371</v>
      </c>
      <c r="B67" t="s">
        <v>372</v>
      </c>
      <c r="C67" s="579" t="s">
        <v>410</v>
      </c>
      <c r="D67" t="s">
        <v>411</v>
      </c>
      <c r="E67" s="579" t="s">
        <v>293</v>
      </c>
      <c r="F67" s="579" t="s">
        <v>294</v>
      </c>
      <c r="G67" s="579" t="s">
        <v>324</v>
      </c>
      <c r="H67" s="600">
        <v>20174351044.760002</v>
      </c>
      <c r="I67" s="600">
        <v>25061036128.759998</v>
      </c>
      <c r="J67" s="600">
        <v>21888790825.209999</v>
      </c>
      <c r="K67" s="600">
        <v>26572491707.490002</v>
      </c>
      <c r="L67" s="600">
        <v>30448513985.57</v>
      </c>
      <c r="M67" s="600">
        <v>33701777099.279999</v>
      </c>
      <c r="N67" s="600">
        <v>34346922036.27</v>
      </c>
      <c r="O67" s="600">
        <v>39946631232.860001</v>
      </c>
      <c r="P67" s="600">
        <v>47706439429.330002</v>
      </c>
      <c r="Q67" s="600">
        <v>52454966278.970001</v>
      </c>
      <c r="R67" s="600">
        <v>3714108878.0500002</v>
      </c>
      <c r="S67" s="600">
        <v>0</v>
      </c>
      <c r="T67" s="600">
        <v>0</v>
      </c>
      <c r="U67" s="600">
        <v>0</v>
      </c>
    </row>
    <row r="68" spans="1:21">
      <c r="A68" s="579" t="s">
        <v>371</v>
      </c>
      <c r="B68" t="s">
        <v>372</v>
      </c>
      <c r="C68" s="579" t="s">
        <v>412</v>
      </c>
      <c r="D68" t="s">
        <v>413</v>
      </c>
      <c r="E68" s="579" t="s">
        <v>293</v>
      </c>
      <c r="F68" s="579" t="s">
        <v>294</v>
      </c>
      <c r="G68" s="579" t="s">
        <v>324</v>
      </c>
      <c r="H68" s="601">
        <v>54311611992.339996</v>
      </c>
      <c r="I68" s="601">
        <v>65455922745.809998</v>
      </c>
      <c r="J68" s="601">
        <v>60572813247.729996</v>
      </c>
      <c r="K68" s="601">
        <v>67138010788.400002</v>
      </c>
      <c r="L68" s="601">
        <v>75951410269.509995</v>
      </c>
      <c r="M68" s="601">
        <v>83048781480.479996</v>
      </c>
      <c r="N68" s="601">
        <v>87625325927.169998</v>
      </c>
      <c r="O68" s="601">
        <v>104503112141.25999</v>
      </c>
      <c r="P68" s="601">
        <v>118587594174.94</v>
      </c>
      <c r="Q68" s="601">
        <v>131300564700.66</v>
      </c>
      <c r="R68" s="601">
        <v>5044010753.1000004</v>
      </c>
      <c r="S68" s="601">
        <v>586.6</v>
      </c>
      <c r="T68" s="601">
        <v>0</v>
      </c>
      <c r="U68" s="600">
        <v>0</v>
      </c>
    </row>
    <row r="69" spans="1:21">
      <c r="A69" s="579" t="s">
        <v>414</v>
      </c>
      <c r="B69" t="s">
        <v>415</v>
      </c>
      <c r="C69" s="579" t="s">
        <v>416</v>
      </c>
      <c r="D69" t="s">
        <v>417</v>
      </c>
      <c r="E69" s="579" t="s">
        <v>293</v>
      </c>
      <c r="F69" s="579" t="s">
        <v>294</v>
      </c>
      <c r="G69" s="579" t="s">
        <v>295</v>
      </c>
      <c r="H69" s="600">
        <v>0</v>
      </c>
      <c r="I69" s="600">
        <v>0</v>
      </c>
      <c r="J69" s="600">
        <v>141640</v>
      </c>
      <c r="K69" s="600">
        <v>6206510.2599999998</v>
      </c>
      <c r="L69" s="600">
        <v>37550617.960000001</v>
      </c>
      <c r="M69" s="600">
        <v>57234420.029999994</v>
      </c>
      <c r="N69" s="600">
        <v>18155078.200000003</v>
      </c>
      <c r="O69" s="600">
        <v>39239521.589999996</v>
      </c>
      <c r="P69" s="600">
        <v>51562281.629999995</v>
      </c>
      <c r="Q69" s="600">
        <v>58019148.440000005</v>
      </c>
      <c r="R69" s="600">
        <v>11446470.75</v>
      </c>
      <c r="S69" s="600">
        <v>875472.83</v>
      </c>
      <c r="T69" s="600">
        <v>0</v>
      </c>
      <c r="U69" s="600">
        <v>10140</v>
      </c>
    </row>
    <row r="70" spans="1:21">
      <c r="A70" s="579" t="s">
        <v>414</v>
      </c>
      <c r="B70" t="s">
        <v>415</v>
      </c>
      <c r="C70" s="579" t="s">
        <v>418</v>
      </c>
      <c r="D70" t="s">
        <v>419</v>
      </c>
      <c r="E70" s="579" t="s">
        <v>293</v>
      </c>
      <c r="F70" s="579" t="s">
        <v>294</v>
      </c>
      <c r="G70" s="579" t="s">
        <v>295</v>
      </c>
      <c r="H70" s="600">
        <v>41100236.420000002</v>
      </c>
      <c r="I70" s="600">
        <v>17822161.09</v>
      </c>
      <c r="J70" s="600">
        <v>1554533.71</v>
      </c>
      <c r="K70" s="600">
        <v>15555380.469999999</v>
      </c>
      <c r="L70" s="600">
        <v>19678624.66</v>
      </c>
      <c r="M70" s="600">
        <v>48624170.249999993</v>
      </c>
      <c r="N70" s="600">
        <v>31748041.920000002</v>
      </c>
      <c r="O70" s="600">
        <v>31922597.57</v>
      </c>
      <c r="P70" s="600">
        <v>8661853.5199999996</v>
      </c>
      <c r="Q70" s="600">
        <v>3011419.01</v>
      </c>
      <c r="R70" s="600">
        <v>930169.22</v>
      </c>
      <c r="S70" s="600">
        <v>0</v>
      </c>
      <c r="T70" s="600">
        <v>36533.22</v>
      </c>
      <c r="U70" s="600">
        <v>0</v>
      </c>
    </row>
    <row r="71" spans="1:21">
      <c r="A71" s="579" t="s">
        <v>414</v>
      </c>
      <c r="B71" t="s">
        <v>415</v>
      </c>
      <c r="C71" s="579" t="s">
        <v>420</v>
      </c>
      <c r="D71" t="s">
        <v>421</v>
      </c>
      <c r="E71" s="579" t="s">
        <v>293</v>
      </c>
      <c r="F71" s="579" t="s">
        <v>294</v>
      </c>
      <c r="G71" s="579" t="s">
        <v>295</v>
      </c>
      <c r="H71" s="600">
        <v>4080557.1799999997</v>
      </c>
      <c r="I71" s="600">
        <v>1594849.1199999999</v>
      </c>
      <c r="J71" s="600">
        <v>40</v>
      </c>
      <c r="K71" s="600">
        <v>0</v>
      </c>
      <c r="L71" s="600">
        <v>0</v>
      </c>
      <c r="M71" s="600">
        <v>0</v>
      </c>
      <c r="N71" s="600">
        <v>0</v>
      </c>
      <c r="O71" s="600">
        <v>0</v>
      </c>
      <c r="P71" s="600">
        <v>0</v>
      </c>
      <c r="Q71" s="600">
        <v>0</v>
      </c>
      <c r="R71" s="600">
        <v>0</v>
      </c>
      <c r="S71" s="600">
        <v>0</v>
      </c>
      <c r="T71" s="600">
        <v>0</v>
      </c>
      <c r="U71" s="600">
        <v>0</v>
      </c>
    </row>
    <row r="72" spans="1:21">
      <c r="A72" s="579" t="s">
        <v>414</v>
      </c>
      <c r="B72" t="s">
        <v>415</v>
      </c>
      <c r="C72" s="579" t="s">
        <v>298</v>
      </c>
      <c r="D72" t="s">
        <v>299</v>
      </c>
      <c r="E72" s="579" t="s">
        <v>293</v>
      </c>
      <c r="F72" s="579" t="s">
        <v>294</v>
      </c>
      <c r="G72" s="579" t="s">
        <v>295</v>
      </c>
      <c r="H72" s="600">
        <v>0</v>
      </c>
      <c r="I72" s="600">
        <v>2499704.81</v>
      </c>
      <c r="J72" s="600">
        <v>1196437.32</v>
      </c>
      <c r="K72" s="600">
        <v>99959.64</v>
      </c>
      <c r="L72" s="600">
        <v>896.5</v>
      </c>
      <c r="M72" s="600">
        <v>0</v>
      </c>
      <c r="N72" s="600">
        <v>0</v>
      </c>
      <c r="O72" s="600">
        <v>0</v>
      </c>
      <c r="P72" s="600">
        <v>0</v>
      </c>
      <c r="Q72" s="600">
        <v>0</v>
      </c>
      <c r="R72" s="600">
        <v>0</v>
      </c>
      <c r="S72" s="600">
        <v>0</v>
      </c>
      <c r="T72" s="600">
        <v>0</v>
      </c>
      <c r="U72" s="600">
        <v>0</v>
      </c>
    </row>
    <row r="73" spans="1:21">
      <c r="A73" s="579" t="s">
        <v>414</v>
      </c>
      <c r="B73" t="s">
        <v>415</v>
      </c>
      <c r="C73" s="579" t="s">
        <v>422</v>
      </c>
      <c r="D73" t="s">
        <v>423</v>
      </c>
      <c r="E73" s="579" t="s">
        <v>293</v>
      </c>
      <c r="F73" s="579" t="s">
        <v>294</v>
      </c>
      <c r="G73" s="579" t="s">
        <v>295</v>
      </c>
      <c r="H73" s="600">
        <v>362955.25</v>
      </c>
      <c r="I73" s="600">
        <v>321186.17</v>
      </c>
      <c r="J73" s="600">
        <v>103</v>
      </c>
      <c r="K73" s="600">
        <v>0</v>
      </c>
      <c r="L73" s="600">
        <v>0</v>
      </c>
      <c r="M73" s="600">
        <v>0</v>
      </c>
      <c r="N73" s="600">
        <v>0</v>
      </c>
      <c r="O73" s="600">
        <v>0</v>
      </c>
      <c r="P73" s="600">
        <v>0</v>
      </c>
      <c r="Q73" s="600">
        <v>0</v>
      </c>
      <c r="R73" s="600">
        <v>0</v>
      </c>
      <c r="S73" s="600">
        <v>0</v>
      </c>
      <c r="T73" s="600">
        <v>0</v>
      </c>
      <c r="U73" s="600">
        <v>0</v>
      </c>
    </row>
    <row r="74" spans="1:21">
      <c r="A74" s="579" t="s">
        <v>414</v>
      </c>
      <c r="B74" t="s">
        <v>415</v>
      </c>
      <c r="C74" s="579" t="s">
        <v>424</v>
      </c>
      <c r="D74" t="s">
        <v>425</v>
      </c>
      <c r="E74" s="579" t="s">
        <v>293</v>
      </c>
      <c r="F74" s="579" t="s">
        <v>294</v>
      </c>
      <c r="G74" s="579" t="s">
        <v>295</v>
      </c>
      <c r="H74" s="600">
        <v>0</v>
      </c>
      <c r="I74" s="600">
        <v>0</v>
      </c>
      <c r="J74" s="600">
        <v>0</v>
      </c>
      <c r="K74" s="600">
        <v>0</v>
      </c>
      <c r="L74" s="600">
        <v>0</v>
      </c>
      <c r="M74" s="600">
        <v>0</v>
      </c>
      <c r="N74" s="600">
        <v>0</v>
      </c>
      <c r="O74" s="600">
        <v>34056696.5</v>
      </c>
      <c r="P74" s="600">
        <v>22581290.170000002</v>
      </c>
      <c r="Q74" s="600">
        <v>58757.96</v>
      </c>
      <c r="R74" s="600">
        <v>0</v>
      </c>
      <c r="S74" s="600">
        <v>0</v>
      </c>
      <c r="T74" s="600">
        <v>0</v>
      </c>
      <c r="U74" s="600">
        <v>0</v>
      </c>
    </row>
    <row r="75" spans="1:21">
      <c r="A75" s="579" t="s">
        <v>414</v>
      </c>
      <c r="B75" t="s">
        <v>415</v>
      </c>
      <c r="C75" s="579" t="s">
        <v>365</v>
      </c>
      <c r="D75" t="s">
        <v>366</v>
      </c>
      <c r="E75" s="579" t="s">
        <v>293</v>
      </c>
      <c r="F75" s="579" t="s">
        <v>294</v>
      </c>
      <c r="G75" s="579" t="s">
        <v>295</v>
      </c>
      <c r="H75" s="600">
        <v>0</v>
      </c>
      <c r="I75" s="600">
        <v>0</v>
      </c>
      <c r="J75" s="600">
        <v>0</v>
      </c>
      <c r="K75" s="600">
        <v>0</v>
      </c>
      <c r="L75" s="600">
        <v>0</v>
      </c>
      <c r="M75" s="600">
        <v>0</v>
      </c>
      <c r="N75" s="600">
        <v>0</v>
      </c>
      <c r="O75" s="600">
        <v>13296297.060000002</v>
      </c>
      <c r="P75" s="600">
        <v>235221758.05999994</v>
      </c>
      <c r="Q75" s="600">
        <v>80892838.440000013</v>
      </c>
      <c r="R75" s="600">
        <v>43927811.089999996</v>
      </c>
      <c r="S75" s="600">
        <v>6998191.1699999999</v>
      </c>
      <c r="T75" s="600">
        <v>992795.74</v>
      </c>
      <c r="U75" s="600">
        <v>43052.71</v>
      </c>
    </row>
    <row r="76" spans="1:21">
      <c r="A76" s="579" t="s">
        <v>414</v>
      </c>
      <c r="B76" t="s">
        <v>415</v>
      </c>
      <c r="C76" s="579" t="s">
        <v>302</v>
      </c>
      <c r="D76" t="s">
        <v>303</v>
      </c>
      <c r="E76" s="579" t="s">
        <v>293</v>
      </c>
      <c r="F76" s="579" t="s">
        <v>294</v>
      </c>
      <c r="G76" s="579" t="s">
        <v>295</v>
      </c>
      <c r="H76" s="600">
        <v>0</v>
      </c>
      <c r="I76" s="600">
        <v>0</v>
      </c>
      <c r="J76" s="600">
        <v>1743220.36</v>
      </c>
      <c r="K76" s="600">
        <v>1598752.3699999999</v>
      </c>
      <c r="L76" s="600">
        <v>952.22</v>
      </c>
      <c r="M76" s="600">
        <v>393773.75</v>
      </c>
      <c r="N76" s="600">
        <v>689838.87</v>
      </c>
      <c r="O76" s="600">
        <v>734187.33</v>
      </c>
      <c r="P76" s="600">
        <v>2200564</v>
      </c>
      <c r="Q76" s="600">
        <v>1027314.58</v>
      </c>
      <c r="R76" s="600">
        <v>0</v>
      </c>
      <c r="S76" s="600">
        <v>0</v>
      </c>
      <c r="T76" s="600">
        <v>0</v>
      </c>
      <c r="U76" s="600">
        <v>0</v>
      </c>
    </row>
    <row r="77" spans="1:21">
      <c r="A77" s="579" t="s">
        <v>414</v>
      </c>
      <c r="B77" t="s">
        <v>415</v>
      </c>
      <c r="C77" s="579" t="s">
        <v>345</v>
      </c>
      <c r="D77" t="s">
        <v>346</v>
      </c>
      <c r="E77" s="579" t="s">
        <v>293</v>
      </c>
      <c r="F77" s="579" t="s">
        <v>294</v>
      </c>
      <c r="G77" s="579" t="s">
        <v>295</v>
      </c>
      <c r="H77" s="600">
        <v>10289667.17</v>
      </c>
      <c r="I77" s="600">
        <v>7643338.0999999996</v>
      </c>
      <c r="J77" s="600">
        <v>7628517.7299999995</v>
      </c>
      <c r="K77" s="600">
        <v>5144004.6500000004</v>
      </c>
      <c r="L77" s="600">
        <v>7457691.2000000002</v>
      </c>
      <c r="M77" s="600">
        <v>1833284.17</v>
      </c>
      <c r="N77" s="600">
        <v>2518424.88</v>
      </c>
      <c r="O77" s="600">
        <v>2520197.2599999998</v>
      </c>
      <c r="P77" s="600">
        <v>5963165.6699999999</v>
      </c>
      <c r="Q77" s="600">
        <v>3913324.71</v>
      </c>
      <c r="R77" s="600">
        <v>9379.2000000000007</v>
      </c>
      <c r="S77" s="600">
        <v>0</v>
      </c>
      <c r="T77" s="600">
        <v>0</v>
      </c>
      <c r="U77" s="600">
        <v>0</v>
      </c>
    </row>
    <row r="78" spans="1:21">
      <c r="A78" s="579" t="s">
        <v>414</v>
      </c>
      <c r="B78" t="s">
        <v>415</v>
      </c>
      <c r="C78" s="579" t="s">
        <v>426</v>
      </c>
      <c r="D78" t="s">
        <v>427</v>
      </c>
      <c r="E78" s="579" t="s">
        <v>293</v>
      </c>
      <c r="F78" s="579" t="s">
        <v>294</v>
      </c>
      <c r="G78" s="579" t="s">
        <v>295</v>
      </c>
      <c r="H78" s="600">
        <v>0</v>
      </c>
      <c r="I78" s="600">
        <v>0</v>
      </c>
      <c r="J78" s="600">
        <v>0</v>
      </c>
      <c r="K78" s="600">
        <v>0</v>
      </c>
      <c r="L78" s="600">
        <v>0</v>
      </c>
      <c r="M78" s="600">
        <v>0</v>
      </c>
      <c r="N78" s="600">
        <v>850351.08</v>
      </c>
      <c r="O78" s="600">
        <v>0</v>
      </c>
      <c r="P78" s="600">
        <v>250254.06</v>
      </c>
      <c r="Q78" s="600">
        <v>472549.75</v>
      </c>
      <c r="R78" s="600">
        <v>655602.62</v>
      </c>
      <c r="S78" s="600">
        <v>0</v>
      </c>
      <c r="T78" s="600">
        <v>0</v>
      </c>
      <c r="U78" s="600">
        <v>0</v>
      </c>
    </row>
    <row r="79" spans="1:21">
      <c r="A79" s="579" t="s">
        <v>414</v>
      </c>
      <c r="B79" t="s">
        <v>415</v>
      </c>
      <c r="C79" s="579" t="s">
        <v>351</v>
      </c>
      <c r="D79" t="s">
        <v>352</v>
      </c>
      <c r="E79" s="579" t="s">
        <v>293</v>
      </c>
      <c r="F79" s="579" t="s">
        <v>294</v>
      </c>
      <c r="G79" s="579" t="s">
        <v>295</v>
      </c>
      <c r="H79" s="600">
        <v>787796.28</v>
      </c>
      <c r="I79" s="600">
        <v>1052544.45</v>
      </c>
      <c r="J79" s="600">
        <v>1429018.54</v>
      </c>
      <c r="K79" s="600">
        <v>1810405.38</v>
      </c>
      <c r="L79" s="600">
        <v>2074477.97</v>
      </c>
      <c r="M79" s="600">
        <v>2108549.25</v>
      </c>
      <c r="N79" s="600">
        <v>3354530.78</v>
      </c>
      <c r="O79" s="600">
        <v>3348316.64</v>
      </c>
      <c r="P79" s="600">
        <v>3579937.1599999997</v>
      </c>
      <c r="Q79" s="600">
        <v>3499557.29</v>
      </c>
      <c r="R79" s="600">
        <v>299073.02</v>
      </c>
      <c r="S79" s="600">
        <v>0</v>
      </c>
      <c r="T79" s="600">
        <v>0</v>
      </c>
      <c r="U79" s="600">
        <v>0</v>
      </c>
    </row>
    <row r="80" spans="1:21">
      <c r="A80" s="579" t="s">
        <v>414</v>
      </c>
      <c r="B80" t="s">
        <v>415</v>
      </c>
      <c r="C80" s="579" t="s">
        <v>428</v>
      </c>
      <c r="D80" t="s">
        <v>429</v>
      </c>
      <c r="E80" s="579" t="s">
        <v>293</v>
      </c>
      <c r="F80" s="579" t="s">
        <v>294</v>
      </c>
      <c r="G80" s="579" t="s">
        <v>295</v>
      </c>
      <c r="H80" s="600">
        <v>0</v>
      </c>
      <c r="I80" s="600">
        <v>0</v>
      </c>
      <c r="J80" s="600">
        <v>0</v>
      </c>
      <c r="K80" s="600">
        <v>0</v>
      </c>
      <c r="L80" s="600">
        <v>0</v>
      </c>
      <c r="M80" s="600">
        <v>149609.24</v>
      </c>
      <c r="N80" s="600">
        <v>7701079.9299999997</v>
      </c>
      <c r="O80" s="600">
        <v>1243674.97</v>
      </c>
      <c r="P80" s="600">
        <v>5549.76</v>
      </c>
      <c r="Q80" s="600">
        <v>0</v>
      </c>
      <c r="R80" s="600">
        <v>0</v>
      </c>
      <c r="S80" s="600">
        <v>0</v>
      </c>
      <c r="T80" s="600">
        <v>0</v>
      </c>
      <c r="U80" s="600">
        <v>0</v>
      </c>
    </row>
    <row r="81" spans="1:21">
      <c r="A81" s="579" t="s">
        <v>414</v>
      </c>
      <c r="B81" t="s">
        <v>415</v>
      </c>
      <c r="C81" s="579" t="s">
        <v>361</v>
      </c>
      <c r="D81" t="s">
        <v>362</v>
      </c>
      <c r="E81" s="579" t="s">
        <v>293</v>
      </c>
      <c r="F81" s="579" t="s">
        <v>294</v>
      </c>
      <c r="G81" s="579" t="s">
        <v>295</v>
      </c>
      <c r="H81" s="600">
        <v>0</v>
      </c>
      <c r="I81" s="600">
        <v>0</v>
      </c>
      <c r="J81" s="600">
        <v>0</v>
      </c>
      <c r="K81" s="600">
        <v>0</v>
      </c>
      <c r="L81" s="600">
        <v>0</v>
      </c>
      <c r="M81" s="600">
        <v>0</v>
      </c>
      <c r="N81" s="600">
        <v>13643705.859999999</v>
      </c>
      <c r="O81" s="600">
        <v>19599444.710000001</v>
      </c>
      <c r="P81" s="600">
        <v>62213763.420000002</v>
      </c>
      <c r="Q81" s="600">
        <v>43679062.07</v>
      </c>
      <c r="R81" s="600">
        <v>26131126.100000001</v>
      </c>
      <c r="S81" s="600">
        <v>3723935.96</v>
      </c>
      <c r="T81" s="600">
        <v>2287817.2400000002</v>
      </c>
      <c r="U81" s="600">
        <v>0</v>
      </c>
    </row>
    <row r="82" spans="1:21">
      <c r="A82" s="579" t="s">
        <v>414</v>
      </c>
      <c r="B82" t="s">
        <v>415</v>
      </c>
      <c r="C82" s="579" t="s">
        <v>357</v>
      </c>
      <c r="D82" t="s">
        <v>358</v>
      </c>
      <c r="E82" s="579" t="s">
        <v>293</v>
      </c>
      <c r="F82" s="579" t="s">
        <v>294</v>
      </c>
      <c r="G82" s="579" t="s">
        <v>295</v>
      </c>
      <c r="H82" s="600">
        <v>2989257.07</v>
      </c>
      <c r="I82" s="600">
        <v>3389265.94</v>
      </c>
      <c r="J82" s="600">
        <v>3571478.33</v>
      </c>
      <c r="K82" s="600">
        <v>4419516.17</v>
      </c>
      <c r="L82" s="600">
        <v>5498678.0999999996</v>
      </c>
      <c r="M82" s="600">
        <v>3828633.92</v>
      </c>
      <c r="N82" s="600">
        <v>71425824.799999997</v>
      </c>
      <c r="O82" s="600">
        <v>77068767.760000005</v>
      </c>
      <c r="P82" s="600">
        <v>92512036.859999999</v>
      </c>
      <c r="Q82" s="600">
        <v>94074991.030000001</v>
      </c>
      <c r="R82" s="600">
        <v>12405745.310000001</v>
      </c>
      <c r="S82" s="600">
        <v>0</v>
      </c>
      <c r="T82" s="600">
        <v>0</v>
      </c>
      <c r="U82" s="600">
        <v>0</v>
      </c>
    </row>
    <row r="83" spans="1:21">
      <c r="A83" s="579" t="s">
        <v>430</v>
      </c>
      <c r="B83" t="s">
        <v>431</v>
      </c>
      <c r="C83" s="579" t="s">
        <v>432</v>
      </c>
      <c r="D83" t="s">
        <v>433</v>
      </c>
      <c r="E83" s="579">
        <v>1</v>
      </c>
      <c r="F83" s="579" t="s">
        <v>434</v>
      </c>
      <c r="G83" s="579" t="s">
        <v>219</v>
      </c>
      <c r="H83" s="600">
        <v>0</v>
      </c>
      <c r="I83" s="600">
        <v>0</v>
      </c>
      <c r="J83" s="600">
        <v>0</v>
      </c>
      <c r="K83" s="600">
        <v>0</v>
      </c>
      <c r="L83" s="600">
        <v>0</v>
      </c>
      <c r="M83" s="600">
        <v>0</v>
      </c>
      <c r="N83" s="600">
        <v>0</v>
      </c>
      <c r="O83" s="600">
        <v>0</v>
      </c>
      <c r="P83" s="600">
        <v>0</v>
      </c>
      <c r="Q83" s="600">
        <v>86161.279999999999</v>
      </c>
      <c r="R83" s="600">
        <v>0</v>
      </c>
      <c r="S83" s="600">
        <v>0</v>
      </c>
      <c r="T83" s="600">
        <v>0</v>
      </c>
      <c r="U83" s="600">
        <v>0</v>
      </c>
    </row>
    <row r="84" spans="1:21">
      <c r="A84" s="579" t="s">
        <v>435</v>
      </c>
      <c r="B84" t="s">
        <v>436</v>
      </c>
      <c r="C84" s="579" t="s">
        <v>432</v>
      </c>
      <c r="D84" t="s">
        <v>433</v>
      </c>
      <c r="E84" s="579" t="s">
        <v>437</v>
      </c>
      <c r="F84" s="579" t="s">
        <v>434</v>
      </c>
      <c r="G84" s="579" t="s">
        <v>219</v>
      </c>
      <c r="H84" s="600">
        <v>0</v>
      </c>
      <c r="I84" s="600">
        <v>0</v>
      </c>
      <c r="J84" s="600">
        <v>0</v>
      </c>
      <c r="K84" s="600">
        <v>0</v>
      </c>
      <c r="L84" s="600">
        <v>0</v>
      </c>
      <c r="M84" s="600">
        <v>0</v>
      </c>
      <c r="N84" s="600">
        <v>0</v>
      </c>
      <c r="O84" s="600">
        <v>0</v>
      </c>
      <c r="P84" s="600">
        <v>1340.92</v>
      </c>
      <c r="Q84" s="600">
        <v>670.46</v>
      </c>
      <c r="R84" s="600">
        <v>0</v>
      </c>
      <c r="S84" s="600">
        <v>0</v>
      </c>
      <c r="T84" s="600">
        <v>0</v>
      </c>
      <c r="U84" s="600">
        <v>0</v>
      </c>
    </row>
    <row r="85" spans="1:21">
      <c r="A85" s="579" t="s">
        <v>435</v>
      </c>
      <c r="B85" t="s">
        <v>436</v>
      </c>
      <c r="C85" s="579" t="s">
        <v>432</v>
      </c>
      <c r="D85" t="s">
        <v>433</v>
      </c>
      <c r="E85" s="579">
        <v>1</v>
      </c>
      <c r="F85" s="579" t="s">
        <v>434</v>
      </c>
      <c r="G85" s="579" t="s">
        <v>219</v>
      </c>
      <c r="H85" s="600">
        <v>0</v>
      </c>
      <c r="I85" s="600">
        <v>0</v>
      </c>
      <c r="J85" s="600">
        <v>0</v>
      </c>
      <c r="K85" s="600">
        <v>397267.20000000001</v>
      </c>
      <c r="L85" s="600">
        <v>3968.82</v>
      </c>
      <c r="M85" s="600">
        <v>32981.74</v>
      </c>
      <c r="N85" s="600">
        <v>239032.9</v>
      </c>
      <c r="O85" s="600">
        <v>67397.84</v>
      </c>
      <c r="P85" s="600">
        <v>2670.6400000000003</v>
      </c>
      <c r="Q85" s="600">
        <v>10557.66</v>
      </c>
      <c r="R85" s="600">
        <v>0</v>
      </c>
      <c r="S85" s="600">
        <v>0</v>
      </c>
      <c r="T85" s="600">
        <v>0</v>
      </c>
      <c r="U85" s="600">
        <v>0</v>
      </c>
    </row>
    <row r="86" spans="1:21">
      <c r="A86" s="579" t="s">
        <v>438</v>
      </c>
      <c r="B86" t="s">
        <v>439</v>
      </c>
      <c r="C86" s="579" t="s">
        <v>432</v>
      </c>
      <c r="D86" t="s">
        <v>433</v>
      </c>
      <c r="E86" s="579" t="s">
        <v>437</v>
      </c>
      <c r="F86" s="579" t="s">
        <v>434</v>
      </c>
      <c r="G86" s="579" t="s">
        <v>219</v>
      </c>
      <c r="H86" s="600">
        <v>0</v>
      </c>
      <c r="I86" s="600">
        <v>0</v>
      </c>
      <c r="J86" s="600">
        <v>0</v>
      </c>
      <c r="K86" s="600">
        <v>23790491.199999999</v>
      </c>
      <c r="L86" s="600">
        <v>2803986.04</v>
      </c>
      <c r="M86" s="600">
        <v>5270241.5999999996</v>
      </c>
      <c r="N86" s="600">
        <v>13022010.440000001</v>
      </c>
      <c r="O86" s="600">
        <v>2260498.4099999997</v>
      </c>
      <c r="P86" s="600">
        <v>983548.14</v>
      </c>
      <c r="Q86" s="600">
        <v>3996240.98</v>
      </c>
      <c r="R86" s="600">
        <v>0</v>
      </c>
      <c r="S86" s="600">
        <v>0</v>
      </c>
      <c r="T86" s="600">
        <v>0</v>
      </c>
      <c r="U86" s="600">
        <v>0</v>
      </c>
    </row>
    <row r="87" spans="1:21">
      <c r="A87" s="579" t="s">
        <v>440</v>
      </c>
      <c r="B87" t="s">
        <v>441</v>
      </c>
      <c r="C87" s="579" t="s">
        <v>432</v>
      </c>
      <c r="D87" t="s">
        <v>433</v>
      </c>
      <c r="E87" s="579">
        <v>1</v>
      </c>
      <c r="F87" s="579" t="s">
        <v>434</v>
      </c>
      <c r="G87" s="579" t="s">
        <v>219</v>
      </c>
      <c r="H87" s="600">
        <v>0</v>
      </c>
      <c r="I87" s="600">
        <v>0</v>
      </c>
      <c r="J87" s="600">
        <v>0</v>
      </c>
      <c r="K87" s="600">
        <v>0</v>
      </c>
      <c r="L87" s="600">
        <v>0</v>
      </c>
      <c r="M87" s="600">
        <v>4608.37</v>
      </c>
      <c r="N87" s="600">
        <v>41177.269999999997</v>
      </c>
      <c r="O87" s="600">
        <v>14825.17</v>
      </c>
      <c r="P87" s="600">
        <v>11933.03</v>
      </c>
      <c r="Q87" s="600">
        <v>11090.19</v>
      </c>
      <c r="R87" s="600">
        <v>0</v>
      </c>
      <c r="S87" s="600">
        <v>0</v>
      </c>
      <c r="T87" s="600">
        <v>0</v>
      </c>
      <c r="U87" s="600">
        <v>0</v>
      </c>
    </row>
    <row r="88" spans="1:21">
      <c r="A88" s="579" t="s">
        <v>442</v>
      </c>
      <c r="B88" t="s">
        <v>443</v>
      </c>
      <c r="C88" s="579" t="s">
        <v>444</v>
      </c>
      <c r="D88" t="s">
        <v>445</v>
      </c>
      <c r="E88" s="579">
        <v>1</v>
      </c>
      <c r="F88" s="579" t="s">
        <v>434</v>
      </c>
      <c r="G88" s="579" t="s">
        <v>219</v>
      </c>
      <c r="H88" s="600">
        <v>0</v>
      </c>
      <c r="I88" s="600">
        <v>0</v>
      </c>
      <c r="J88" s="600">
        <v>0</v>
      </c>
      <c r="K88" s="600">
        <v>0</v>
      </c>
      <c r="L88" s="600">
        <v>0</v>
      </c>
      <c r="M88" s="600">
        <v>0</v>
      </c>
      <c r="N88" s="600">
        <v>0</v>
      </c>
      <c r="O88" s="600">
        <v>2226.7199999999998</v>
      </c>
      <c r="P88" s="600">
        <v>1015.52</v>
      </c>
      <c r="Q88" s="600">
        <v>0</v>
      </c>
      <c r="R88" s="600">
        <v>0</v>
      </c>
      <c r="S88" s="600">
        <v>0</v>
      </c>
      <c r="T88" s="600">
        <v>0</v>
      </c>
      <c r="U88" s="600">
        <v>0</v>
      </c>
    </row>
    <row r="89" spans="1:21">
      <c r="A89" s="579" t="s">
        <v>442</v>
      </c>
      <c r="B89" t="s">
        <v>443</v>
      </c>
      <c r="C89" s="579" t="s">
        <v>432</v>
      </c>
      <c r="D89" t="s">
        <v>433</v>
      </c>
      <c r="E89" s="579">
        <v>1</v>
      </c>
      <c r="F89" s="579" t="s">
        <v>434</v>
      </c>
      <c r="G89" s="579" t="s">
        <v>219</v>
      </c>
      <c r="H89" s="600">
        <v>0</v>
      </c>
      <c r="I89" s="600">
        <v>0</v>
      </c>
      <c r="J89" s="600">
        <v>0</v>
      </c>
      <c r="K89" s="600">
        <v>0</v>
      </c>
      <c r="L89" s="600">
        <v>0</v>
      </c>
      <c r="M89" s="600">
        <v>0</v>
      </c>
      <c r="N89" s="600">
        <v>7693.88</v>
      </c>
      <c r="O89" s="600">
        <v>11540.82</v>
      </c>
      <c r="P89" s="600">
        <v>37475.08</v>
      </c>
      <c r="Q89" s="600">
        <v>0</v>
      </c>
      <c r="R89" s="600">
        <v>0</v>
      </c>
      <c r="S89" s="600">
        <v>0</v>
      </c>
      <c r="T89" s="600">
        <v>0</v>
      </c>
      <c r="U89" s="600">
        <v>0</v>
      </c>
    </row>
    <row r="90" spans="1:21">
      <c r="A90" s="579" t="s">
        <v>446</v>
      </c>
      <c r="B90" t="s">
        <v>447</v>
      </c>
      <c r="C90" s="579" t="s">
        <v>432</v>
      </c>
      <c r="D90" t="s">
        <v>433</v>
      </c>
      <c r="E90" s="579">
        <v>1</v>
      </c>
      <c r="F90" s="579" t="s">
        <v>434</v>
      </c>
      <c r="G90" s="579" t="s">
        <v>219</v>
      </c>
      <c r="H90" s="600">
        <v>0</v>
      </c>
      <c r="I90" s="600">
        <v>0</v>
      </c>
      <c r="J90" s="600">
        <v>0</v>
      </c>
      <c r="K90" s="600">
        <v>0</v>
      </c>
      <c r="L90" s="600">
        <v>0</v>
      </c>
      <c r="M90" s="600">
        <v>70617.899999999994</v>
      </c>
      <c r="N90" s="600">
        <v>42468.08</v>
      </c>
      <c r="O90" s="600">
        <v>41765.96</v>
      </c>
      <c r="P90" s="600">
        <v>27771.38</v>
      </c>
      <c r="Q90" s="600">
        <v>33376.26</v>
      </c>
      <c r="R90" s="600">
        <v>15183.78</v>
      </c>
      <c r="S90" s="600">
        <v>0</v>
      </c>
      <c r="T90" s="600">
        <v>0</v>
      </c>
      <c r="U90" s="600">
        <v>0</v>
      </c>
    </row>
    <row r="91" spans="1:21">
      <c r="A91" s="579" t="s">
        <v>448</v>
      </c>
      <c r="B91" t="s">
        <v>449</v>
      </c>
      <c r="C91" s="579" t="s">
        <v>432</v>
      </c>
      <c r="D91" t="s">
        <v>433</v>
      </c>
      <c r="E91" s="579">
        <v>1</v>
      </c>
      <c r="F91" s="579" t="s">
        <v>434</v>
      </c>
      <c r="G91" s="579" t="s">
        <v>219</v>
      </c>
      <c r="H91" s="600">
        <v>0</v>
      </c>
      <c r="I91" s="600">
        <v>0</v>
      </c>
      <c r="J91" s="600">
        <v>0</v>
      </c>
      <c r="K91" s="600">
        <v>0</v>
      </c>
      <c r="L91" s="600">
        <v>0</v>
      </c>
      <c r="M91" s="600">
        <v>0</v>
      </c>
      <c r="N91" s="600">
        <v>77760.52</v>
      </c>
      <c r="O91" s="600">
        <v>0</v>
      </c>
      <c r="P91" s="600">
        <v>0</v>
      </c>
      <c r="Q91" s="600">
        <v>0</v>
      </c>
      <c r="R91" s="600">
        <v>0</v>
      </c>
      <c r="S91" s="600">
        <v>0</v>
      </c>
      <c r="T91" s="600">
        <v>0</v>
      </c>
      <c r="U91" s="600">
        <v>0</v>
      </c>
    </row>
    <row r="92" spans="1:21">
      <c r="A92" s="579" t="s">
        <v>450</v>
      </c>
      <c r="B92" t="s">
        <v>451</v>
      </c>
      <c r="C92" s="579" t="s">
        <v>432</v>
      </c>
      <c r="D92" t="s">
        <v>433</v>
      </c>
      <c r="E92" s="579" t="s">
        <v>437</v>
      </c>
      <c r="F92" s="579" t="s">
        <v>434</v>
      </c>
      <c r="G92" s="579" t="s">
        <v>219</v>
      </c>
      <c r="H92" s="600">
        <v>0</v>
      </c>
      <c r="I92" s="600">
        <v>0</v>
      </c>
      <c r="J92" s="600">
        <v>0</v>
      </c>
      <c r="K92" s="600">
        <v>640998.35</v>
      </c>
      <c r="L92" s="600">
        <v>0</v>
      </c>
      <c r="M92" s="600">
        <v>0</v>
      </c>
      <c r="N92" s="600">
        <v>0</v>
      </c>
      <c r="O92" s="600">
        <v>0</v>
      </c>
      <c r="P92" s="600">
        <v>0</v>
      </c>
      <c r="Q92" s="600">
        <v>0</v>
      </c>
      <c r="R92" s="600">
        <v>0</v>
      </c>
      <c r="S92" s="600">
        <v>0</v>
      </c>
      <c r="T92" s="600">
        <v>0</v>
      </c>
      <c r="U92" s="600">
        <v>0</v>
      </c>
    </row>
    <row r="93" spans="1:21">
      <c r="A93" s="579" t="s">
        <v>452</v>
      </c>
      <c r="B93" t="s">
        <v>453</v>
      </c>
      <c r="C93" s="579" t="s">
        <v>432</v>
      </c>
      <c r="D93" t="s">
        <v>433</v>
      </c>
      <c r="E93" s="579" t="s">
        <v>437</v>
      </c>
      <c r="F93" s="579" t="s">
        <v>434</v>
      </c>
      <c r="G93" s="579" t="s">
        <v>219</v>
      </c>
      <c r="H93" s="600">
        <v>0</v>
      </c>
      <c r="I93" s="600">
        <v>0</v>
      </c>
      <c r="J93" s="600">
        <v>0</v>
      </c>
      <c r="K93" s="600">
        <v>4603727.07</v>
      </c>
      <c r="L93" s="600">
        <v>5423101.9700000007</v>
      </c>
      <c r="M93" s="600">
        <v>3394303.3899999997</v>
      </c>
      <c r="N93" s="600">
        <v>5151609.2</v>
      </c>
      <c r="O93" s="600">
        <v>199975.2</v>
      </c>
      <c r="P93" s="600">
        <v>5710.14</v>
      </c>
      <c r="Q93" s="600">
        <v>18131.11</v>
      </c>
      <c r="R93" s="600">
        <v>0</v>
      </c>
      <c r="S93" s="600">
        <v>0</v>
      </c>
      <c r="T93" s="600">
        <v>0</v>
      </c>
      <c r="U93" s="600">
        <v>0</v>
      </c>
    </row>
    <row r="94" spans="1:21">
      <c r="A94" s="579" t="s">
        <v>454</v>
      </c>
      <c r="B94" t="s">
        <v>455</v>
      </c>
      <c r="C94" s="579" t="s">
        <v>432</v>
      </c>
      <c r="D94" t="s">
        <v>433</v>
      </c>
      <c r="E94" s="579" t="s">
        <v>437</v>
      </c>
      <c r="F94" s="579" t="s">
        <v>434</v>
      </c>
      <c r="G94" s="579" t="s">
        <v>219</v>
      </c>
      <c r="H94" s="600">
        <v>0</v>
      </c>
      <c r="I94" s="600">
        <v>0</v>
      </c>
      <c r="J94" s="600">
        <v>0</v>
      </c>
      <c r="K94" s="600">
        <v>0</v>
      </c>
      <c r="L94" s="600">
        <v>2562366.42</v>
      </c>
      <c r="M94" s="600">
        <v>5643753.9800000004</v>
      </c>
      <c r="N94" s="600">
        <v>0</v>
      </c>
      <c r="O94" s="600">
        <v>0</v>
      </c>
      <c r="P94" s="600">
        <v>0</v>
      </c>
      <c r="Q94" s="600">
        <v>0</v>
      </c>
      <c r="R94" s="600">
        <v>0</v>
      </c>
      <c r="S94" s="600">
        <v>0</v>
      </c>
      <c r="T94" s="600">
        <v>0</v>
      </c>
      <c r="U94" s="600">
        <v>0</v>
      </c>
    </row>
    <row r="95" spans="1:21">
      <c r="A95" s="579" t="s">
        <v>456</v>
      </c>
      <c r="B95" t="s">
        <v>457</v>
      </c>
      <c r="C95" s="579" t="s">
        <v>432</v>
      </c>
      <c r="D95" t="s">
        <v>433</v>
      </c>
      <c r="E95" s="579" t="s">
        <v>437</v>
      </c>
      <c r="F95" s="579" t="s">
        <v>434</v>
      </c>
      <c r="G95" s="579" t="s">
        <v>219</v>
      </c>
      <c r="H95" s="600">
        <v>0</v>
      </c>
      <c r="I95" s="600">
        <v>0</v>
      </c>
      <c r="J95" s="600">
        <v>0</v>
      </c>
      <c r="K95" s="600">
        <v>8679806.8300000001</v>
      </c>
      <c r="L95" s="600">
        <v>0</v>
      </c>
      <c r="M95" s="600">
        <v>0</v>
      </c>
      <c r="N95" s="600">
        <v>0</v>
      </c>
      <c r="O95" s="600">
        <v>0</v>
      </c>
      <c r="P95" s="600">
        <v>0</v>
      </c>
      <c r="Q95" s="600">
        <v>0</v>
      </c>
      <c r="R95" s="600">
        <v>0</v>
      </c>
      <c r="S95" s="600">
        <v>0</v>
      </c>
      <c r="T95" s="600">
        <v>0</v>
      </c>
      <c r="U95" s="600">
        <v>0</v>
      </c>
    </row>
    <row r="96" spans="1:21">
      <c r="A96" s="579" t="s">
        <v>458</v>
      </c>
      <c r="B96" t="s">
        <v>459</v>
      </c>
      <c r="C96" s="579" t="s">
        <v>432</v>
      </c>
      <c r="D96" t="s">
        <v>433</v>
      </c>
      <c r="E96" s="579">
        <v>1</v>
      </c>
      <c r="F96" s="579" t="s">
        <v>434</v>
      </c>
      <c r="G96" s="579" t="s">
        <v>219</v>
      </c>
      <c r="H96" s="600">
        <v>0</v>
      </c>
      <c r="I96" s="600">
        <v>0</v>
      </c>
      <c r="J96" s="600">
        <v>0</v>
      </c>
      <c r="K96" s="600">
        <v>0</v>
      </c>
      <c r="L96" s="600">
        <v>11992.66</v>
      </c>
      <c r="M96" s="600">
        <v>13837.31</v>
      </c>
      <c r="N96" s="600">
        <v>162666.88</v>
      </c>
      <c r="O96" s="600">
        <v>718785.7</v>
      </c>
      <c r="P96" s="600">
        <v>1804.56</v>
      </c>
      <c r="Q96" s="600">
        <v>0</v>
      </c>
      <c r="R96" s="600">
        <v>7834.66</v>
      </c>
      <c r="S96" s="600">
        <v>2659.54</v>
      </c>
      <c r="T96" s="600">
        <v>0</v>
      </c>
      <c r="U96" s="600">
        <v>0</v>
      </c>
    </row>
    <row r="97" spans="1:21">
      <c r="A97" s="579" t="s">
        <v>318</v>
      </c>
      <c r="B97" t="s">
        <v>460</v>
      </c>
      <c r="C97" s="579" t="s">
        <v>322</v>
      </c>
      <c r="D97" t="s">
        <v>461</v>
      </c>
      <c r="E97" s="579">
        <v>1</v>
      </c>
      <c r="F97" s="579" t="s">
        <v>434</v>
      </c>
      <c r="G97" s="579" t="s">
        <v>219</v>
      </c>
      <c r="H97" s="600">
        <v>630623108.54999995</v>
      </c>
      <c r="I97" s="600">
        <v>673992683.45000005</v>
      </c>
      <c r="J97" s="600">
        <v>687714149.82000005</v>
      </c>
      <c r="K97" s="600">
        <v>745787651.80000007</v>
      </c>
      <c r="L97" s="600">
        <v>698015150.47000003</v>
      </c>
      <c r="M97" s="600">
        <v>853639832.65999997</v>
      </c>
      <c r="N97" s="600">
        <v>435336759.5</v>
      </c>
      <c r="O97" s="600">
        <v>333810469.94</v>
      </c>
      <c r="P97" s="600">
        <v>308624237.35000002</v>
      </c>
      <c r="Q97" s="600">
        <v>305705634.87</v>
      </c>
      <c r="R97" s="600">
        <v>24819602.91</v>
      </c>
      <c r="S97" s="600">
        <v>0</v>
      </c>
      <c r="T97" s="600">
        <v>0</v>
      </c>
      <c r="U97" s="600">
        <v>0</v>
      </c>
    </row>
    <row r="98" spans="1:21">
      <c r="A98" s="579" t="s">
        <v>318</v>
      </c>
      <c r="B98" t="s">
        <v>460</v>
      </c>
      <c r="C98" s="579" t="s">
        <v>462</v>
      </c>
      <c r="D98" t="s">
        <v>463</v>
      </c>
      <c r="E98" s="579">
        <v>1</v>
      </c>
      <c r="F98" s="579" t="s">
        <v>434</v>
      </c>
      <c r="G98" s="579" t="s">
        <v>219</v>
      </c>
      <c r="H98" s="600">
        <v>0</v>
      </c>
      <c r="I98" s="600">
        <v>0</v>
      </c>
      <c r="J98" s="600">
        <v>0</v>
      </c>
      <c r="K98" s="600">
        <v>0</v>
      </c>
      <c r="L98" s="600">
        <v>0</v>
      </c>
      <c r="M98" s="600">
        <v>0</v>
      </c>
      <c r="N98" s="600">
        <v>576851489.94000006</v>
      </c>
      <c r="O98" s="600">
        <v>638551547.57000005</v>
      </c>
      <c r="P98" s="600">
        <v>587946980.60000002</v>
      </c>
      <c r="Q98" s="600">
        <v>593737700.51999998</v>
      </c>
      <c r="R98" s="600">
        <v>42713882.82</v>
      </c>
      <c r="S98" s="600">
        <v>0</v>
      </c>
      <c r="T98" s="600">
        <v>0</v>
      </c>
      <c r="U98" s="600">
        <v>0</v>
      </c>
    </row>
    <row r="99" spans="1:21">
      <c r="A99" s="579" t="s">
        <v>464</v>
      </c>
      <c r="B99" t="s">
        <v>465</v>
      </c>
      <c r="C99" s="579" t="s">
        <v>432</v>
      </c>
      <c r="D99" t="s">
        <v>433</v>
      </c>
      <c r="E99" s="579">
        <v>1</v>
      </c>
      <c r="F99" s="579" t="s">
        <v>434</v>
      </c>
      <c r="G99" s="579" t="s">
        <v>219</v>
      </c>
      <c r="H99" s="600">
        <v>0</v>
      </c>
      <c r="I99" s="600">
        <v>0</v>
      </c>
      <c r="J99" s="600">
        <v>0</v>
      </c>
      <c r="K99" s="600">
        <v>0</v>
      </c>
      <c r="L99" s="600">
        <v>71138.58</v>
      </c>
      <c r="M99" s="600">
        <v>163534.07999999999</v>
      </c>
      <c r="N99" s="600">
        <v>517.99</v>
      </c>
      <c r="O99" s="600">
        <v>0</v>
      </c>
      <c r="P99" s="600">
        <v>0</v>
      </c>
      <c r="Q99" s="600">
        <v>0</v>
      </c>
      <c r="R99" s="600">
        <v>0</v>
      </c>
      <c r="S99" s="600">
        <v>0</v>
      </c>
      <c r="T99" s="600">
        <v>0</v>
      </c>
      <c r="U99" s="600">
        <v>0</v>
      </c>
    </row>
    <row r="100" spans="1:21">
      <c r="A100" s="579" t="s">
        <v>466</v>
      </c>
      <c r="B100" t="s">
        <v>467</v>
      </c>
      <c r="C100" s="579" t="s">
        <v>432</v>
      </c>
      <c r="D100" t="s">
        <v>433</v>
      </c>
      <c r="E100" s="579">
        <v>1</v>
      </c>
      <c r="F100" s="579" t="s">
        <v>434</v>
      </c>
      <c r="G100" s="579" t="s">
        <v>219</v>
      </c>
      <c r="H100" s="600">
        <v>0</v>
      </c>
      <c r="I100" s="600">
        <v>0</v>
      </c>
      <c r="J100" s="600">
        <v>0</v>
      </c>
      <c r="K100" s="600">
        <v>0</v>
      </c>
      <c r="L100" s="600">
        <v>0</v>
      </c>
      <c r="M100" s="600">
        <v>0</v>
      </c>
      <c r="N100" s="600">
        <v>12551883.529999999</v>
      </c>
      <c r="O100" s="600">
        <v>0</v>
      </c>
      <c r="P100" s="600">
        <v>0</v>
      </c>
      <c r="Q100" s="600">
        <v>0</v>
      </c>
      <c r="R100" s="600">
        <v>0</v>
      </c>
      <c r="S100" s="600">
        <v>0</v>
      </c>
      <c r="T100" s="600">
        <v>0</v>
      </c>
      <c r="U100" s="600">
        <v>0</v>
      </c>
    </row>
    <row r="101" spans="1:21">
      <c r="A101" s="579" t="s">
        <v>468</v>
      </c>
      <c r="B101" t="s">
        <v>469</v>
      </c>
      <c r="C101" s="579" t="s">
        <v>432</v>
      </c>
      <c r="D101" t="s">
        <v>433</v>
      </c>
      <c r="E101" s="579">
        <v>1</v>
      </c>
      <c r="F101" s="579" t="s">
        <v>434</v>
      </c>
      <c r="G101" s="579" t="s">
        <v>219</v>
      </c>
      <c r="H101" s="600">
        <v>0</v>
      </c>
      <c r="I101" s="600">
        <v>0</v>
      </c>
      <c r="J101" s="600">
        <v>0</v>
      </c>
      <c r="K101" s="600">
        <v>170000</v>
      </c>
      <c r="L101" s="600">
        <v>0</v>
      </c>
      <c r="M101" s="600">
        <v>0</v>
      </c>
      <c r="N101" s="600">
        <v>0</v>
      </c>
      <c r="O101" s="600">
        <v>0</v>
      </c>
      <c r="P101" s="600">
        <v>0</v>
      </c>
      <c r="Q101" s="600">
        <v>0</v>
      </c>
      <c r="R101" s="600">
        <v>0</v>
      </c>
      <c r="S101" s="600">
        <v>0</v>
      </c>
      <c r="T101" s="600">
        <v>0</v>
      </c>
      <c r="U101" s="600">
        <v>0</v>
      </c>
    </row>
    <row r="102" spans="1:21">
      <c r="A102" s="579" t="s">
        <v>470</v>
      </c>
      <c r="B102" t="s">
        <v>471</v>
      </c>
      <c r="C102" s="579" t="s">
        <v>472</v>
      </c>
      <c r="D102" t="s">
        <v>473</v>
      </c>
      <c r="E102" s="579">
        <v>1</v>
      </c>
      <c r="F102" s="579" t="s">
        <v>434</v>
      </c>
      <c r="G102" s="579" t="s">
        <v>219</v>
      </c>
      <c r="H102" s="600">
        <v>0</v>
      </c>
      <c r="I102" s="600">
        <v>0</v>
      </c>
      <c r="J102" s="600">
        <v>0</v>
      </c>
      <c r="K102" s="600">
        <v>0</v>
      </c>
      <c r="L102" s="600">
        <v>0</v>
      </c>
      <c r="M102" s="600">
        <v>0</v>
      </c>
      <c r="N102" s="600">
        <v>0</v>
      </c>
      <c r="O102" s="600">
        <v>0</v>
      </c>
      <c r="P102" s="600">
        <v>11150428.689999999</v>
      </c>
      <c r="Q102" s="600">
        <v>12309076</v>
      </c>
      <c r="R102" s="600">
        <v>12486569.199999999</v>
      </c>
      <c r="S102" s="600">
        <v>13279639.189999999</v>
      </c>
      <c r="T102" s="600">
        <v>0</v>
      </c>
      <c r="U102" s="600">
        <v>0</v>
      </c>
    </row>
    <row r="103" spans="1:21">
      <c r="A103" s="579" t="s">
        <v>470</v>
      </c>
      <c r="B103" t="s">
        <v>471</v>
      </c>
      <c r="C103" s="579" t="s">
        <v>474</v>
      </c>
      <c r="D103" t="s">
        <v>475</v>
      </c>
      <c r="E103" s="579">
        <v>1</v>
      </c>
      <c r="F103" s="579" t="s">
        <v>434</v>
      </c>
      <c r="G103" s="579" t="s">
        <v>219</v>
      </c>
      <c r="H103" s="600">
        <v>0</v>
      </c>
      <c r="I103" s="600">
        <v>0</v>
      </c>
      <c r="J103" s="600">
        <v>0</v>
      </c>
      <c r="K103" s="600">
        <v>0</v>
      </c>
      <c r="L103" s="600">
        <v>0</v>
      </c>
      <c r="M103" s="600">
        <v>0</v>
      </c>
      <c r="N103" s="600">
        <v>0</v>
      </c>
      <c r="O103" s="600">
        <v>0</v>
      </c>
      <c r="P103" s="600">
        <v>37970862.060000002</v>
      </c>
      <c r="Q103" s="600">
        <v>549788.93999999994</v>
      </c>
      <c r="R103" s="600">
        <v>0</v>
      </c>
      <c r="S103" s="600">
        <v>0</v>
      </c>
      <c r="T103" s="600">
        <v>0</v>
      </c>
      <c r="U103" s="600">
        <v>0</v>
      </c>
    </row>
    <row r="104" spans="1:21">
      <c r="A104" s="579" t="s">
        <v>470</v>
      </c>
      <c r="B104" t="s">
        <v>471</v>
      </c>
      <c r="C104" s="579" t="s">
        <v>476</v>
      </c>
      <c r="D104" t="s">
        <v>477</v>
      </c>
      <c r="E104" s="579" t="s">
        <v>437</v>
      </c>
      <c r="F104" s="579" t="s">
        <v>434</v>
      </c>
      <c r="G104" s="579" t="s">
        <v>219</v>
      </c>
      <c r="H104" s="600">
        <v>0</v>
      </c>
      <c r="I104" s="600">
        <v>0</v>
      </c>
      <c r="J104" s="600">
        <v>0</v>
      </c>
      <c r="K104" s="600">
        <v>0</v>
      </c>
      <c r="L104" s="600">
        <v>0</v>
      </c>
      <c r="M104" s="600">
        <v>0</v>
      </c>
      <c r="N104" s="600">
        <v>0</v>
      </c>
      <c r="O104" s="600">
        <v>0</v>
      </c>
      <c r="P104" s="600">
        <v>0</v>
      </c>
      <c r="Q104" s="600">
        <v>0</v>
      </c>
      <c r="R104" s="600">
        <v>29074</v>
      </c>
      <c r="S104" s="600">
        <v>0</v>
      </c>
      <c r="T104" s="600">
        <v>0</v>
      </c>
      <c r="U104" s="600">
        <v>0</v>
      </c>
    </row>
    <row r="105" spans="1:21">
      <c r="A105" s="579" t="s">
        <v>478</v>
      </c>
      <c r="B105" t="s">
        <v>479</v>
      </c>
      <c r="C105" s="579" t="s">
        <v>480</v>
      </c>
      <c r="D105" t="s">
        <v>481</v>
      </c>
      <c r="E105" s="579">
        <v>1</v>
      </c>
      <c r="F105" s="579" t="s">
        <v>434</v>
      </c>
      <c r="G105" s="579" t="s">
        <v>219</v>
      </c>
      <c r="H105" s="600">
        <v>381574032</v>
      </c>
      <c r="I105" s="600">
        <v>0</v>
      </c>
      <c r="J105" s="600">
        <v>0</v>
      </c>
      <c r="K105" s="600">
        <v>0</v>
      </c>
      <c r="L105" s="600">
        <v>0</v>
      </c>
      <c r="M105" s="600">
        <v>0</v>
      </c>
      <c r="N105" s="600">
        <v>0</v>
      </c>
      <c r="O105" s="600">
        <v>0</v>
      </c>
      <c r="P105" s="600">
        <v>0</v>
      </c>
      <c r="Q105" s="600">
        <v>0</v>
      </c>
      <c r="R105" s="600">
        <v>0</v>
      </c>
      <c r="S105" s="600">
        <v>0</v>
      </c>
      <c r="T105" s="600">
        <v>0</v>
      </c>
      <c r="U105" s="600">
        <v>0</v>
      </c>
    </row>
    <row r="106" spans="1:21">
      <c r="A106" s="579" t="s">
        <v>478</v>
      </c>
      <c r="B106" t="s">
        <v>479</v>
      </c>
      <c r="C106" s="579" t="s">
        <v>482</v>
      </c>
      <c r="D106" t="s">
        <v>483</v>
      </c>
      <c r="E106" s="579">
        <v>1</v>
      </c>
      <c r="F106" s="579" t="s">
        <v>434</v>
      </c>
      <c r="G106" s="579" t="s">
        <v>219</v>
      </c>
      <c r="H106" s="600">
        <v>157118719</v>
      </c>
      <c r="I106" s="600">
        <v>0</v>
      </c>
      <c r="J106" s="600">
        <v>0</v>
      </c>
      <c r="K106" s="600">
        <v>0</v>
      </c>
      <c r="L106" s="600">
        <v>0</v>
      </c>
      <c r="M106" s="600">
        <v>0</v>
      </c>
      <c r="N106" s="600">
        <v>0</v>
      </c>
      <c r="O106" s="600">
        <v>0</v>
      </c>
      <c r="P106" s="600">
        <v>0</v>
      </c>
      <c r="Q106" s="600">
        <v>0</v>
      </c>
      <c r="R106" s="600">
        <v>0</v>
      </c>
      <c r="S106" s="600">
        <v>0</v>
      </c>
      <c r="T106" s="600">
        <v>0</v>
      </c>
      <c r="U106" s="600">
        <v>0</v>
      </c>
    </row>
    <row r="107" spans="1:21">
      <c r="A107" s="579" t="s">
        <v>333</v>
      </c>
      <c r="B107" t="s">
        <v>484</v>
      </c>
      <c r="C107" s="579" t="s">
        <v>322</v>
      </c>
      <c r="D107" t="s">
        <v>461</v>
      </c>
      <c r="E107" s="579">
        <v>1</v>
      </c>
      <c r="F107" s="579" t="s">
        <v>434</v>
      </c>
      <c r="G107" s="579" t="s">
        <v>219</v>
      </c>
      <c r="H107" s="600">
        <v>0</v>
      </c>
      <c r="I107" s="600">
        <v>0</v>
      </c>
      <c r="J107" s="600">
        <v>0</v>
      </c>
      <c r="K107" s="600">
        <v>0</v>
      </c>
      <c r="L107" s="600">
        <v>0</v>
      </c>
      <c r="M107" s="600">
        <v>0</v>
      </c>
      <c r="N107" s="600">
        <v>0</v>
      </c>
      <c r="O107" s="600">
        <v>0</v>
      </c>
      <c r="P107" s="600">
        <v>0</v>
      </c>
      <c r="Q107" s="600">
        <v>0</v>
      </c>
      <c r="R107" s="600">
        <v>336361399.94</v>
      </c>
      <c r="S107" s="600">
        <v>381225533.04000002</v>
      </c>
      <c r="T107" s="600">
        <v>398109285.81</v>
      </c>
      <c r="U107" s="600">
        <v>326743073.32999998</v>
      </c>
    </row>
    <row r="108" spans="1:21">
      <c r="A108" s="579" t="s">
        <v>333</v>
      </c>
      <c r="B108" t="s">
        <v>484</v>
      </c>
      <c r="C108" s="579" t="s">
        <v>485</v>
      </c>
      <c r="D108" t="s">
        <v>486</v>
      </c>
      <c r="E108" s="579" t="s">
        <v>437</v>
      </c>
      <c r="F108" s="579" t="s">
        <v>434</v>
      </c>
      <c r="G108" s="579" t="s">
        <v>219</v>
      </c>
      <c r="H108" s="600">
        <v>0</v>
      </c>
      <c r="I108" s="600">
        <v>0</v>
      </c>
      <c r="J108" s="600">
        <v>0</v>
      </c>
      <c r="K108" s="600">
        <v>0</v>
      </c>
      <c r="L108" s="600">
        <v>0</v>
      </c>
      <c r="M108" s="600">
        <v>0</v>
      </c>
      <c r="N108" s="600">
        <v>0</v>
      </c>
      <c r="O108" s="600">
        <v>0</v>
      </c>
      <c r="P108" s="600">
        <v>0</v>
      </c>
      <c r="Q108" s="600">
        <v>0</v>
      </c>
      <c r="R108" s="600">
        <v>228649.91</v>
      </c>
      <c r="S108" s="600">
        <v>0</v>
      </c>
      <c r="T108" s="600">
        <v>0</v>
      </c>
      <c r="U108" s="600">
        <v>0</v>
      </c>
    </row>
    <row r="109" spans="1:21">
      <c r="A109" s="579" t="s">
        <v>487</v>
      </c>
      <c r="B109" t="s">
        <v>488</v>
      </c>
      <c r="C109" s="579" t="s">
        <v>489</v>
      </c>
      <c r="D109" t="s">
        <v>490</v>
      </c>
      <c r="E109" s="579">
        <v>1</v>
      </c>
      <c r="F109" s="579" t="s">
        <v>434</v>
      </c>
      <c r="G109" s="579" t="s">
        <v>219</v>
      </c>
      <c r="H109" s="600">
        <v>0</v>
      </c>
      <c r="I109" s="600">
        <v>0</v>
      </c>
      <c r="J109" s="600">
        <v>0</v>
      </c>
      <c r="K109" s="600">
        <v>0</v>
      </c>
      <c r="L109" s="600">
        <v>0</v>
      </c>
      <c r="M109" s="600">
        <v>0</v>
      </c>
      <c r="N109" s="600">
        <v>0</v>
      </c>
      <c r="O109" s="600">
        <v>0</v>
      </c>
      <c r="P109" s="600">
        <v>488587421</v>
      </c>
      <c r="Q109" s="600">
        <v>513757622.93000001</v>
      </c>
      <c r="R109" s="600">
        <v>559874331.31000006</v>
      </c>
      <c r="S109" s="600">
        <v>654756699.88999999</v>
      </c>
      <c r="T109" s="600">
        <v>32439155.440000001</v>
      </c>
      <c r="U109" s="600">
        <v>0</v>
      </c>
    </row>
    <row r="110" spans="1:21">
      <c r="A110" s="579" t="s">
        <v>487</v>
      </c>
      <c r="B110" t="s">
        <v>488</v>
      </c>
      <c r="C110" s="579" t="s">
        <v>491</v>
      </c>
      <c r="D110" t="s">
        <v>492</v>
      </c>
      <c r="E110" s="579">
        <v>1</v>
      </c>
      <c r="F110" s="579" t="s">
        <v>434</v>
      </c>
      <c r="G110" s="579" t="s">
        <v>219</v>
      </c>
      <c r="H110" s="600">
        <v>0</v>
      </c>
      <c r="I110" s="600">
        <v>0</v>
      </c>
      <c r="J110" s="600">
        <v>0</v>
      </c>
      <c r="K110" s="600">
        <v>0</v>
      </c>
      <c r="L110" s="600">
        <v>0</v>
      </c>
      <c r="M110" s="600">
        <v>0</v>
      </c>
      <c r="N110" s="600">
        <v>0</v>
      </c>
      <c r="O110" s="600">
        <v>0</v>
      </c>
      <c r="P110" s="600">
        <v>255010629</v>
      </c>
      <c r="Q110" s="600">
        <v>273927645.00999999</v>
      </c>
      <c r="R110" s="600">
        <v>314326825.57999998</v>
      </c>
      <c r="S110" s="600">
        <v>319471911.55000001</v>
      </c>
      <c r="T110" s="600">
        <v>25952039.140000001</v>
      </c>
      <c r="U110" s="600">
        <v>0</v>
      </c>
    </row>
    <row r="111" spans="1:21">
      <c r="A111" s="579" t="s">
        <v>487</v>
      </c>
      <c r="B111" t="s">
        <v>488</v>
      </c>
      <c r="C111" s="579" t="s">
        <v>493</v>
      </c>
      <c r="D111" t="s">
        <v>494</v>
      </c>
      <c r="E111" s="579">
        <v>1</v>
      </c>
      <c r="F111" s="579" t="s">
        <v>434</v>
      </c>
      <c r="G111" s="579" t="s">
        <v>219</v>
      </c>
      <c r="H111" s="600">
        <v>0</v>
      </c>
      <c r="I111" s="600">
        <v>0</v>
      </c>
      <c r="J111" s="600">
        <v>0</v>
      </c>
      <c r="K111" s="600">
        <v>0</v>
      </c>
      <c r="L111" s="600">
        <v>0</v>
      </c>
      <c r="M111" s="600">
        <v>0</v>
      </c>
      <c r="N111" s="600">
        <v>0</v>
      </c>
      <c r="O111" s="600">
        <v>0</v>
      </c>
      <c r="P111" s="600">
        <v>0</v>
      </c>
      <c r="Q111" s="600">
        <v>0</v>
      </c>
      <c r="R111" s="600">
        <v>0</v>
      </c>
      <c r="S111" s="600">
        <v>0</v>
      </c>
      <c r="T111" s="600">
        <v>1661297886.03</v>
      </c>
      <c r="U111" s="600">
        <v>2120487929</v>
      </c>
    </row>
    <row r="112" spans="1:21">
      <c r="A112" s="579" t="s">
        <v>487</v>
      </c>
      <c r="B112" t="s">
        <v>488</v>
      </c>
      <c r="C112" s="579" t="s">
        <v>495</v>
      </c>
      <c r="D112" t="s">
        <v>496</v>
      </c>
      <c r="E112" s="579">
        <v>1</v>
      </c>
      <c r="F112" s="579" t="s">
        <v>434</v>
      </c>
      <c r="G112" s="579" t="s">
        <v>219</v>
      </c>
      <c r="H112" s="600">
        <v>366639654.33999997</v>
      </c>
      <c r="I112" s="600">
        <v>465520149.60000002</v>
      </c>
      <c r="J112" s="600">
        <v>539256086.39999998</v>
      </c>
      <c r="K112" s="600">
        <v>576724167.49000001</v>
      </c>
      <c r="L112" s="600">
        <v>691977683.54000008</v>
      </c>
      <c r="M112" s="600">
        <v>805116610.50999999</v>
      </c>
      <c r="N112" s="600">
        <v>1000574585.6500001</v>
      </c>
      <c r="O112" s="600">
        <v>1098827571.05</v>
      </c>
      <c r="P112" s="600">
        <v>484335021.88</v>
      </c>
      <c r="Q112" s="600">
        <v>468920999.92000002</v>
      </c>
      <c r="R112" s="600">
        <v>557894598.30999994</v>
      </c>
      <c r="S112" s="600">
        <v>514898390.96000004</v>
      </c>
      <c r="T112" s="600">
        <v>37081482.270000003</v>
      </c>
      <c r="U112" s="600">
        <v>0</v>
      </c>
    </row>
    <row r="113" spans="1:21">
      <c r="A113" s="579" t="s">
        <v>497</v>
      </c>
      <c r="B113" t="s">
        <v>498</v>
      </c>
      <c r="C113" s="579" t="s">
        <v>432</v>
      </c>
      <c r="D113" t="s">
        <v>433</v>
      </c>
      <c r="E113" s="579">
        <v>1</v>
      </c>
      <c r="F113" s="579" t="s">
        <v>434</v>
      </c>
      <c r="G113" s="579" t="s">
        <v>219</v>
      </c>
      <c r="H113" s="600">
        <v>0</v>
      </c>
      <c r="I113" s="600">
        <v>0</v>
      </c>
      <c r="J113" s="600">
        <v>0</v>
      </c>
      <c r="K113" s="600">
        <v>1599974.18</v>
      </c>
      <c r="L113" s="600">
        <v>0</v>
      </c>
      <c r="M113" s="600">
        <v>0</v>
      </c>
      <c r="N113" s="600">
        <v>0</v>
      </c>
      <c r="O113" s="600">
        <v>0</v>
      </c>
      <c r="P113" s="600">
        <v>0</v>
      </c>
      <c r="Q113" s="600">
        <v>0</v>
      </c>
      <c r="R113" s="600">
        <v>0</v>
      </c>
      <c r="S113" s="600">
        <v>0</v>
      </c>
      <c r="T113" s="600">
        <v>0</v>
      </c>
      <c r="U113" s="600">
        <v>0</v>
      </c>
    </row>
    <row r="114" spans="1:21">
      <c r="A114" s="579" t="s">
        <v>499</v>
      </c>
      <c r="B114" t="s">
        <v>500</v>
      </c>
      <c r="C114" s="579" t="s">
        <v>432</v>
      </c>
      <c r="D114" t="s">
        <v>433</v>
      </c>
      <c r="E114" s="579">
        <v>1</v>
      </c>
      <c r="F114" s="579" t="s">
        <v>434</v>
      </c>
      <c r="G114" s="579" t="s">
        <v>219</v>
      </c>
      <c r="H114" s="600">
        <v>0</v>
      </c>
      <c r="I114" s="600">
        <v>0</v>
      </c>
      <c r="J114" s="600">
        <v>0</v>
      </c>
      <c r="K114" s="600">
        <v>0</v>
      </c>
      <c r="L114" s="600">
        <v>0</v>
      </c>
      <c r="M114" s="600">
        <v>0</v>
      </c>
      <c r="N114" s="600">
        <v>0</v>
      </c>
      <c r="O114" s="600">
        <v>0</v>
      </c>
      <c r="P114" s="600">
        <v>0</v>
      </c>
      <c r="Q114" s="600">
        <v>0</v>
      </c>
      <c r="R114" s="600">
        <v>0</v>
      </c>
      <c r="S114" s="600">
        <v>494.57</v>
      </c>
      <c r="T114" s="600">
        <v>0</v>
      </c>
      <c r="U114" s="600">
        <v>0</v>
      </c>
    </row>
    <row r="115" spans="1:21">
      <c r="A115" s="579" t="s">
        <v>501</v>
      </c>
      <c r="B115" t="s">
        <v>502</v>
      </c>
      <c r="C115" s="579" t="s">
        <v>432</v>
      </c>
      <c r="D115" t="s">
        <v>433</v>
      </c>
      <c r="E115" s="579">
        <v>1</v>
      </c>
      <c r="F115" s="579" t="s">
        <v>434</v>
      </c>
      <c r="G115" s="579" t="s">
        <v>219</v>
      </c>
      <c r="H115" s="600">
        <v>0</v>
      </c>
      <c r="I115" s="600">
        <v>0</v>
      </c>
      <c r="J115" s="600">
        <v>0</v>
      </c>
      <c r="K115" s="600">
        <v>0</v>
      </c>
      <c r="L115" s="600">
        <v>0</v>
      </c>
      <c r="M115" s="600">
        <v>0</v>
      </c>
      <c r="N115" s="600">
        <v>0</v>
      </c>
      <c r="O115" s="600">
        <v>0</v>
      </c>
      <c r="P115" s="600">
        <v>0</v>
      </c>
      <c r="Q115" s="600">
        <v>0</v>
      </c>
      <c r="R115" s="600">
        <v>0</v>
      </c>
      <c r="S115" s="600">
        <v>0</v>
      </c>
      <c r="T115" s="600">
        <v>18520.5</v>
      </c>
      <c r="U115" s="600">
        <v>0</v>
      </c>
    </row>
    <row r="116" spans="1:21">
      <c r="A116" s="579">
        <v>2107</v>
      </c>
      <c r="B116" t="s">
        <v>503</v>
      </c>
      <c r="C116" s="579" t="s">
        <v>432</v>
      </c>
      <c r="D116" t="s">
        <v>433</v>
      </c>
      <c r="E116" s="579">
        <v>1</v>
      </c>
      <c r="F116" s="579" t="s">
        <v>434</v>
      </c>
      <c r="G116" s="579" t="s">
        <v>219</v>
      </c>
      <c r="H116" s="600">
        <v>0</v>
      </c>
      <c r="I116" s="600">
        <v>0</v>
      </c>
      <c r="J116" s="600">
        <v>0</v>
      </c>
      <c r="K116" s="600">
        <v>0</v>
      </c>
      <c r="L116" s="600">
        <v>0</v>
      </c>
      <c r="M116" s="600">
        <v>0</v>
      </c>
      <c r="N116" s="600">
        <v>0</v>
      </c>
      <c r="O116" s="600">
        <v>0</v>
      </c>
      <c r="P116" s="600">
        <v>0</v>
      </c>
      <c r="Q116" s="600">
        <v>0</v>
      </c>
      <c r="R116" s="600">
        <v>0</v>
      </c>
      <c r="S116" s="600">
        <v>0</v>
      </c>
      <c r="T116" s="600">
        <v>0</v>
      </c>
      <c r="U116" s="600">
        <v>376356.62</v>
      </c>
    </row>
    <row r="117" spans="1:21">
      <c r="A117" s="579">
        <v>2120</v>
      </c>
      <c r="B117" t="s">
        <v>504</v>
      </c>
      <c r="C117" s="579" t="s">
        <v>432</v>
      </c>
      <c r="D117" t="s">
        <v>433</v>
      </c>
      <c r="E117" s="579">
        <v>1</v>
      </c>
      <c r="F117" s="579" t="s">
        <v>434</v>
      </c>
      <c r="G117" s="579" t="s">
        <v>219</v>
      </c>
      <c r="H117" s="600">
        <v>0</v>
      </c>
      <c r="I117" s="600">
        <v>0</v>
      </c>
      <c r="J117" s="600">
        <v>0</v>
      </c>
      <c r="K117" s="600">
        <v>0</v>
      </c>
      <c r="L117" s="600">
        <v>0</v>
      </c>
      <c r="M117" s="600">
        <v>0</v>
      </c>
      <c r="N117" s="600">
        <v>0</v>
      </c>
      <c r="O117" s="600">
        <v>0</v>
      </c>
      <c r="P117" s="600">
        <v>0</v>
      </c>
      <c r="Q117" s="600">
        <v>0</v>
      </c>
      <c r="R117" s="600">
        <v>0</v>
      </c>
      <c r="S117" s="600">
        <v>0</v>
      </c>
      <c r="T117" s="600">
        <v>0</v>
      </c>
      <c r="U117" s="600">
        <v>57956.02</v>
      </c>
    </row>
    <row r="118" spans="1:21">
      <c r="A118" s="579">
        <v>2127</v>
      </c>
      <c r="B118" t="s">
        <v>505</v>
      </c>
      <c r="C118" s="579" t="s">
        <v>432</v>
      </c>
      <c r="D118" t="s">
        <v>433</v>
      </c>
      <c r="E118" s="579">
        <v>1</v>
      </c>
      <c r="F118" s="579" t="s">
        <v>434</v>
      </c>
      <c r="G118" s="579" t="s">
        <v>219</v>
      </c>
      <c r="H118" s="600">
        <v>0</v>
      </c>
      <c r="I118" s="600">
        <v>0</v>
      </c>
      <c r="J118" s="600">
        <v>0</v>
      </c>
      <c r="K118" s="600">
        <v>0</v>
      </c>
      <c r="L118" s="600">
        <v>0</v>
      </c>
      <c r="M118" s="600">
        <v>0</v>
      </c>
      <c r="N118" s="600">
        <v>0</v>
      </c>
      <c r="O118" s="600">
        <v>0</v>
      </c>
      <c r="P118" s="600">
        <v>0</v>
      </c>
      <c r="Q118" s="600">
        <v>0</v>
      </c>
      <c r="R118" s="600">
        <v>0</v>
      </c>
      <c r="S118" s="600">
        <v>0</v>
      </c>
      <c r="T118" s="600">
        <v>0</v>
      </c>
      <c r="U118" s="600">
        <v>166.11</v>
      </c>
    </row>
    <row r="119" spans="1:21">
      <c r="A119" s="579">
        <v>2128</v>
      </c>
      <c r="B119" t="s">
        <v>506</v>
      </c>
      <c r="C119" s="579" t="s">
        <v>432</v>
      </c>
      <c r="D119" t="s">
        <v>433</v>
      </c>
      <c r="E119" s="579">
        <v>1</v>
      </c>
      <c r="F119" s="579" t="s">
        <v>434</v>
      </c>
      <c r="G119" s="579" t="s">
        <v>219</v>
      </c>
      <c r="H119" s="600">
        <v>0</v>
      </c>
      <c r="I119" s="600">
        <v>0</v>
      </c>
      <c r="J119" s="600">
        <v>0</v>
      </c>
      <c r="K119" s="600">
        <v>0</v>
      </c>
      <c r="L119" s="600">
        <v>0</v>
      </c>
      <c r="M119" s="600">
        <v>0</v>
      </c>
      <c r="N119" s="600">
        <v>0</v>
      </c>
      <c r="O119" s="600">
        <v>0</v>
      </c>
      <c r="P119" s="600">
        <v>0</v>
      </c>
      <c r="Q119" s="600">
        <v>0</v>
      </c>
      <c r="R119" s="600">
        <v>0</v>
      </c>
      <c r="S119" s="600">
        <v>0</v>
      </c>
      <c r="T119" s="600">
        <v>0</v>
      </c>
      <c r="U119" s="600">
        <v>12067.84</v>
      </c>
    </row>
    <row r="120" spans="1:21">
      <c r="A120" s="579" t="s">
        <v>507</v>
      </c>
      <c r="B120" t="s">
        <v>508</v>
      </c>
      <c r="C120" s="579" t="s">
        <v>509</v>
      </c>
      <c r="D120" t="s">
        <v>510</v>
      </c>
      <c r="E120" s="579" t="s">
        <v>437</v>
      </c>
      <c r="F120" s="579" t="s">
        <v>434</v>
      </c>
      <c r="G120" s="579" t="s">
        <v>219</v>
      </c>
      <c r="H120" s="600">
        <v>280995.69000000012</v>
      </c>
      <c r="I120" s="600">
        <v>0</v>
      </c>
      <c r="J120" s="600">
        <v>0</v>
      </c>
      <c r="K120" s="600">
        <v>0</v>
      </c>
      <c r="L120" s="600">
        <v>0</v>
      </c>
      <c r="M120" s="600">
        <v>0</v>
      </c>
      <c r="N120" s="600">
        <v>0</v>
      </c>
      <c r="O120" s="600">
        <v>0</v>
      </c>
      <c r="P120" s="600">
        <v>0</v>
      </c>
      <c r="Q120" s="600">
        <v>0</v>
      </c>
      <c r="R120" s="600">
        <v>0</v>
      </c>
      <c r="S120" s="600">
        <v>0</v>
      </c>
      <c r="T120" s="600">
        <v>0</v>
      </c>
      <c r="U120" s="600">
        <v>0</v>
      </c>
    </row>
    <row r="121" spans="1:21">
      <c r="A121" s="579" t="s">
        <v>507</v>
      </c>
      <c r="B121" t="s">
        <v>508</v>
      </c>
      <c r="C121" s="579" t="s">
        <v>509</v>
      </c>
      <c r="D121" t="s">
        <v>510</v>
      </c>
      <c r="E121" s="579" t="s">
        <v>511</v>
      </c>
      <c r="F121" s="579" t="s">
        <v>434</v>
      </c>
      <c r="G121" s="579" t="s">
        <v>219</v>
      </c>
      <c r="H121" s="600">
        <v>646791.81999999995</v>
      </c>
      <c r="I121" s="600">
        <v>0</v>
      </c>
      <c r="J121" s="600">
        <v>0</v>
      </c>
      <c r="K121" s="600">
        <v>0</v>
      </c>
      <c r="L121" s="600">
        <v>0</v>
      </c>
      <c r="M121" s="600">
        <v>0</v>
      </c>
      <c r="N121" s="600">
        <v>0</v>
      </c>
      <c r="O121" s="600">
        <v>0</v>
      </c>
      <c r="P121" s="600">
        <v>0</v>
      </c>
      <c r="Q121" s="600">
        <v>0</v>
      </c>
      <c r="R121" s="600">
        <v>0</v>
      </c>
      <c r="S121" s="600">
        <v>0</v>
      </c>
      <c r="T121" s="600">
        <v>0</v>
      </c>
      <c r="U121" s="600">
        <v>0</v>
      </c>
    </row>
    <row r="122" spans="1:21">
      <c r="A122" s="579" t="s">
        <v>507</v>
      </c>
      <c r="B122" t="s">
        <v>508</v>
      </c>
      <c r="C122" s="579" t="s">
        <v>509</v>
      </c>
      <c r="D122" t="s">
        <v>510</v>
      </c>
      <c r="E122" s="579">
        <v>1</v>
      </c>
      <c r="F122" s="579" t="s">
        <v>434</v>
      </c>
      <c r="G122" s="579" t="s">
        <v>219</v>
      </c>
      <c r="H122" s="600">
        <v>5570451.6200000001</v>
      </c>
      <c r="I122" s="600">
        <v>0</v>
      </c>
      <c r="J122" s="600">
        <v>0</v>
      </c>
      <c r="K122" s="600">
        <v>0</v>
      </c>
      <c r="L122" s="600">
        <v>0</v>
      </c>
      <c r="M122" s="600">
        <v>0</v>
      </c>
      <c r="N122" s="600">
        <v>0</v>
      </c>
      <c r="O122" s="600">
        <v>0</v>
      </c>
      <c r="P122" s="600">
        <v>0</v>
      </c>
      <c r="Q122" s="600">
        <v>0</v>
      </c>
      <c r="R122" s="600">
        <v>0</v>
      </c>
      <c r="S122" s="600">
        <v>0</v>
      </c>
      <c r="T122" s="600">
        <v>0</v>
      </c>
      <c r="U122" s="600">
        <v>0</v>
      </c>
    </row>
    <row r="123" spans="1:21">
      <c r="A123" s="579" t="s">
        <v>507</v>
      </c>
      <c r="B123" t="s">
        <v>508</v>
      </c>
      <c r="C123" s="579" t="s">
        <v>462</v>
      </c>
      <c r="D123" t="s">
        <v>463</v>
      </c>
      <c r="E123" s="579">
        <v>1</v>
      </c>
      <c r="F123" s="579" t="s">
        <v>434</v>
      </c>
      <c r="G123" s="579" t="s">
        <v>219</v>
      </c>
      <c r="H123" s="600">
        <v>0</v>
      </c>
      <c r="I123" s="600">
        <v>0</v>
      </c>
      <c r="J123" s="600">
        <v>0</v>
      </c>
      <c r="K123" s="600">
        <v>0</v>
      </c>
      <c r="L123" s="600">
        <v>0</v>
      </c>
      <c r="M123" s="600">
        <v>0</v>
      </c>
      <c r="N123" s="600">
        <v>0</v>
      </c>
      <c r="O123" s="600">
        <v>0</v>
      </c>
      <c r="P123" s="600">
        <v>0</v>
      </c>
      <c r="Q123" s="600">
        <v>0</v>
      </c>
      <c r="R123" s="600">
        <v>615516837.67999995</v>
      </c>
      <c r="S123" s="600">
        <v>661399916.40999997</v>
      </c>
      <c r="T123" s="600">
        <v>714190407.93000007</v>
      </c>
      <c r="U123" s="600">
        <v>625253704.34000003</v>
      </c>
    </row>
    <row r="124" spans="1:21">
      <c r="A124" s="579" t="s">
        <v>507</v>
      </c>
      <c r="B124" t="s">
        <v>508</v>
      </c>
      <c r="C124" s="579" t="s">
        <v>512</v>
      </c>
      <c r="D124" t="s">
        <v>513</v>
      </c>
      <c r="E124" s="579">
        <v>1</v>
      </c>
      <c r="F124" s="579" t="s">
        <v>434</v>
      </c>
      <c r="G124" s="579" t="s">
        <v>219</v>
      </c>
      <c r="H124" s="600">
        <v>0</v>
      </c>
      <c r="I124" s="600">
        <v>0</v>
      </c>
      <c r="J124" s="600">
        <v>0</v>
      </c>
      <c r="K124" s="600">
        <v>0</v>
      </c>
      <c r="L124" s="600">
        <v>77347330</v>
      </c>
      <c r="M124" s="600">
        <v>0</v>
      </c>
      <c r="N124" s="600">
        <v>0</v>
      </c>
      <c r="O124" s="600">
        <v>0</v>
      </c>
      <c r="P124" s="600">
        <v>0</v>
      </c>
      <c r="Q124" s="600">
        <v>0</v>
      </c>
      <c r="R124" s="600">
        <v>0</v>
      </c>
      <c r="S124" s="600">
        <v>0</v>
      </c>
      <c r="T124" s="600">
        <v>0</v>
      </c>
      <c r="U124" s="600">
        <v>0</v>
      </c>
    </row>
    <row r="125" spans="1:21">
      <c r="A125" s="579" t="s">
        <v>507</v>
      </c>
      <c r="B125" t="s">
        <v>508</v>
      </c>
      <c r="C125" s="579" t="s">
        <v>514</v>
      </c>
      <c r="D125" t="s">
        <v>515</v>
      </c>
      <c r="E125" s="579">
        <v>1</v>
      </c>
      <c r="F125" s="579" t="s">
        <v>434</v>
      </c>
      <c r="G125" s="579" t="s">
        <v>219</v>
      </c>
      <c r="H125" s="600">
        <v>0</v>
      </c>
      <c r="I125" s="600">
        <v>0</v>
      </c>
      <c r="J125" s="600">
        <v>0</v>
      </c>
      <c r="K125" s="600">
        <v>0</v>
      </c>
      <c r="L125" s="600">
        <v>0</v>
      </c>
      <c r="M125" s="600">
        <v>0</v>
      </c>
      <c r="N125" s="600">
        <v>2490326.17</v>
      </c>
      <c r="O125" s="600">
        <v>43366996.979999997</v>
      </c>
      <c r="P125" s="600">
        <v>169387719.16</v>
      </c>
      <c r="Q125" s="600">
        <v>6053645.9100000001</v>
      </c>
      <c r="R125" s="600">
        <v>0</v>
      </c>
      <c r="S125" s="600">
        <v>0</v>
      </c>
      <c r="T125" s="600">
        <v>0</v>
      </c>
      <c r="U125" s="600">
        <v>0</v>
      </c>
    </row>
    <row r="126" spans="1:21">
      <c r="A126" s="579" t="s">
        <v>507</v>
      </c>
      <c r="B126" t="s">
        <v>508</v>
      </c>
      <c r="C126" s="579" t="s">
        <v>516</v>
      </c>
      <c r="D126" t="s">
        <v>517</v>
      </c>
      <c r="E126" s="579">
        <v>1</v>
      </c>
      <c r="F126" s="579" t="s">
        <v>434</v>
      </c>
      <c r="G126" s="579" t="s">
        <v>219</v>
      </c>
      <c r="H126" s="600">
        <v>46356514.18</v>
      </c>
      <c r="I126" s="600">
        <v>69300218.479999989</v>
      </c>
      <c r="J126" s="600">
        <v>72052472.75999999</v>
      </c>
      <c r="K126" s="600">
        <v>69076292.650000006</v>
      </c>
      <c r="L126" s="600">
        <v>69430208.150000006</v>
      </c>
      <c r="M126" s="600">
        <v>82315387.700000003</v>
      </c>
      <c r="N126" s="600">
        <v>85355996.950000003</v>
      </c>
      <c r="O126" s="600">
        <v>85775750.870000005</v>
      </c>
      <c r="P126" s="600">
        <v>80988052.349999994</v>
      </c>
      <c r="Q126" s="600">
        <v>121792811.22999999</v>
      </c>
      <c r="R126" s="600">
        <v>122943761.13</v>
      </c>
      <c r="S126" s="600">
        <v>119881666.60999998</v>
      </c>
      <c r="T126" s="600">
        <v>115245698.04000001</v>
      </c>
      <c r="U126" s="600">
        <v>139581290.47999999</v>
      </c>
    </row>
    <row r="127" spans="1:21">
      <c r="A127" s="579" t="s">
        <v>507</v>
      </c>
      <c r="B127" t="s">
        <v>508</v>
      </c>
      <c r="C127" s="579" t="s">
        <v>518</v>
      </c>
      <c r="D127" t="s">
        <v>519</v>
      </c>
      <c r="E127" s="579">
        <v>1</v>
      </c>
      <c r="F127" s="579" t="s">
        <v>434</v>
      </c>
      <c r="G127" s="579" t="s">
        <v>219</v>
      </c>
      <c r="H127" s="600">
        <v>34294416.659999996</v>
      </c>
      <c r="I127" s="600">
        <v>22842219.59</v>
      </c>
      <c r="J127" s="600">
        <v>22101246.84</v>
      </c>
      <c r="K127" s="600">
        <v>16516576.26</v>
      </c>
      <c r="L127" s="600">
        <v>22975958.789999999</v>
      </c>
      <c r="M127" s="600">
        <v>15210435.890000001</v>
      </c>
      <c r="N127" s="600">
        <v>26221364.740000002</v>
      </c>
      <c r="O127" s="600">
        <v>14926912.050000001</v>
      </c>
      <c r="P127" s="600">
        <v>16513754.98</v>
      </c>
      <c r="Q127" s="600">
        <v>14892800.670000002</v>
      </c>
      <c r="R127" s="600">
        <v>17821941.049999997</v>
      </c>
      <c r="S127" s="600">
        <v>15287351.17</v>
      </c>
      <c r="T127" s="600">
        <v>12462386.57</v>
      </c>
      <c r="U127" s="600">
        <v>5197973.45</v>
      </c>
    </row>
    <row r="128" spans="1:21">
      <c r="A128" s="579" t="s">
        <v>507</v>
      </c>
      <c r="B128" t="s">
        <v>508</v>
      </c>
      <c r="C128" s="579" t="s">
        <v>520</v>
      </c>
      <c r="D128" t="s">
        <v>521</v>
      </c>
      <c r="E128" s="579">
        <v>1</v>
      </c>
      <c r="F128" s="579" t="s">
        <v>434</v>
      </c>
      <c r="G128" s="579" t="s">
        <v>219</v>
      </c>
      <c r="H128" s="600">
        <v>9226695</v>
      </c>
      <c r="I128" s="600">
        <v>7908000</v>
      </c>
      <c r="J128" s="600">
        <v>9226000</v>
      </c>
      <c r="K128" s="600">
        <v>0</v>
      </c>
      <c r="L128" s="600">
        <v>26939998.120000001</v>
      </c>
      <c r="M128" s="600">
        <v>0</v>
      </c>
      <c r="N128" s="600">
        <v>22793424.140000001</v>
      </c>
      <c r="O128" s="600">
        <v>34076912.259999998</v>
      </c>
      <c r="P128" s="600">
        <v>35639274.390000001</v>
      </c>
      <c r="Q128" s="600">
        <v>20933715.16</v>
      </c>
      <c r="R128" s="600">
        <v>20478094.850000001</v>
      </c>
      <c r="S128" s="600">
        <v>28501181.879999999</v>
      </c>
      <c r="T128" s="600">
        <v>18366301.640000001</v>
      </c>
      <c r="U128" s="600">
        <v>20087194.98</v>
      </c>
    </row>
    <row r="129" spans="1:21">
      <c r="A129" s="579" t="s">
        <v>507</v>
      </c>
      <c r="B129" t="s">
        <v>508</v>
      </c>
      <c r="C129" s="579" t="s">
        <v>522</v>
      </c>
      <c r="D129" t="s">
        <v>523</v>
      </c>
      <c r="E129" s="579">
        <v>1</v>
      </c>
      <c r="F129" s="579" t="s">
        <v>434</v>
      </c>
      <c r="G129" s="579" t="s">
        <v>219</v>
      </c>
      <c r="H129" s="600">
        <v>843313138.50999999</v>
      </c>
      <c r="I129" s="600">
        <v>992030771.40999997</v>
      </c>
      <c r="J129" s="600">
        <v>983988798.11999989</v>
      </c>
      <c r="K129" s="600">
        <v>1089077414.6299999</v>
      </c>
      <c r="L129" s="600">
        <v>1207418850.0800002</v>
      </c>
      <c r="M129" s="600">
        <v>1416179341.7599998</v>
      </c>
      <c r="N129" s="600">
        <v>1473924387.5699999</v>
      </c>
      <c r="O129" s="600">
        <v>1709707362.53</v>
      </c>
      <c r="P129" s="600">
        <v>1724702091.49</v>
      </c>
      <c r="Q129" s="600">
        <v>1770266231.8799999</v>
      </c>
      <c r="R129" s="600">
        <v>1805520915.6399999</v>
      </c>
      <c r="S129" s="600">
        <v>1955547349.0099998</v>
      </c>
      <c r="T129" s="600">
        <v>2343787978.5599999</v>
      </c>
      <c r="U129" s="600">
        <v>2626620170.2700005</v>
      </c>
    </row>
    <row r="130" spans="1:21">
      <c r="A130" s="579" t="s">
        <v>507</v>
      </c>
      <c r="B130" t="s">
        <v>508</v>
      </c>
      <c r="C130" s="579" t="s">
        <v>524</v>
      </c>
      <c r="D130" t="s">
        <v>525</v>
      </c>
      <c r="E130" s="579" t="s">
        <v>511</v>
      </c>
      <c r="F130" s="579" t="s">
        <v>434</v>
      </c>
      <c r="G130" s="579" t="s">
        <v>219</v>
      </c>
      <c r="H130" s="600">
        <v>2494237024.54</v>
      </c>
      <c r="I130" s="600">
        <v>2619642769.1100001</v>
      </c>
      <c r="J130" s="600">
        <v>3020426137.1900001</v>
      </c>
      <c r="K130" s="600">
        <v>3206385056.3499999</v>
      </c>
      <c r="L130" s="600">
        <v>3267164319.1300001</v>
      </c>
      <c r="M130" s="600">
        <v>3505983975.1600003</v>
      </c>
      <c r="N130" s="600">
        <v>3774168649.25</v>
      </c>
      <c r="O130" s="600">
        <v>4579558350.8100004</v>
      </c>
      <c r="P130" s="600">
        <v>5318854425.9499998</v>
      </c>
      <c r="Q130" s="600">
        <v>6156507031.2700005</v>
      </c>
      <c r="R130" s="600">
        <v>6737541658.8299999</v>
      </c>
      <c r="S130" s="600">
        <v>7188916956.1499996</v>
      </c>
      <c r="T130" s="600">
        <v>7660305484.5200005</v>
      </c>
      <c r="U130" s="600">
        <v>7936530528.29</v>
      </c>
    </row>
    <row r="131" spans="1:21">
      <c r="A131" s="579" t="s">
        <v>507</v>
      </c>
      <c r="B131" t="s">
        <v>508</v>
      </c>
      <c r="C131" s="579" t="s">
        <v>526</v>
      </c>
      <c r="D131" t="s">
        <v>527</v>
      </c>
      <c r="E131" s="579">
        <v>1</v>
      </c>
      <c r="F131" s="579" t="s">
        <v>434</v>
      </c>
      <c r="G131" s="579" t="s">
        <v>219</v>
      </c>
      <c r="H131" s="600">
        <v>3459734655.2800007</v>
      </c>
      <c r="I131" s="600">
        <v>3866515430.7099996</v>
      </c>
      <c r="J131" s="600">
        <v>4433350435.8199987</v>
      </c>
      <c r="K131" s="600">
        <v>4662301500.8000002</v>
      </c>
      <c r="L131" s="600">
        <v>5147440590.8400002</v>
      </c>
      <c r="M131" s="600">
        <v>5543992193.5599995</v>
      </c>
      <c r="N131" s="600">
        <v>6037861617.0499992</v>
      </c>
      <c r="O131" s="600">
        <v>6484754450.2000008</v>
      </c>
      <c r="P131" s="600">
        <v>6936444045.25</v>
      </c>
      <c r="Q131" s="600">
        <v>7780379394.5299997</v>
      </c>
      <c r="R131" s="600">
        <v>118762711.18999998</v>
      </c>
      <c r="S131" s="600">
        <v>1426672.76</v>
      </c>
      <c r="T131" s="600">
        <v>512449.73</v>
      </c>
      <c r="U131" s="600">
        <v>1155609.4700000002</v>
      </c>
    </row>
    <row r="132" spans="1:21">
      <c r="A132" s="579" t="s">
        <v>507</v>
      </c>
      <c r="B132" t="s">
        <v>508</v>
      </c>
      <c r="C132" s="579" t="s">
        <v>524</v>
      </c>
      <c r="D132" t="s">
        <v>525</v>
      </c>
      <c r="E132" s="579" t="s">
        <v>437</v>
      </c>
      <c r="F132" s="579" t="s">
        <v>434</v>
      </c>
      <c r="G132" s="579" t="s">
        <v>219</v>
      </c>
      <c r="H132" s="600">
        <v>2874163617.3600001</v>
      </c>
      <c r="I132" s="600">
        <v>3207467752.4500017</v>
      </c>
      <c r="J132" s="600">
        <v>3675428431.1300001</v>
      </c>
      <c r="K132" s="600">
        <v>4125690123.5700006</v>
      </c>
      <c r="L132" s="600">
        <v>4672229123.3099995</v>
      </c>
      <c r="M132" s="600">
        <v>4842325355.9099998</v>
      </c>
      <c r="N132" s="600">
        <v>5418889197.3700008</v>
      </c>
      <c r="O132" s="600">
        <v>6132693289.6299992</v>
      </c>
      <c r="P132" s="600">
        <v>7122779533.5300007</v>
      </c>
      <c r="Q132" s="600">
        <v>7789509695.3599987</v>
      </c>
      <c r="R132" s="600">
        <v>8421387061.9800014</v>
      </c>
      <c r="S132" s="600">
        <v>9495202498.1399975</v>
      </c>
      <c r="T132" s="600">
        <v>10584061558.969999</v>
      </c>
      <c r="U132" s="600">
        <v>11677051106.610001</v>
      </c>
    </row>
    <row r="133" spans="1:21">
      <c r="A133" s="579" t="s">
        <v>507</v>
      </c>
      <c r="B133" t="s">
        <v>508</v>
      </c>
      <c r="C133" s="579" t="s">
        <v>524</v>
      </c>
      <c r="D133" t="s">
        <v>525</v>
      </c>
      <c r="E133" s="579">
        <v>1</v>
      </c>
      <c r="F133" s="579" t="s">
        <v>434</v>
      </c>
      <c r="G133" s="579" t="s">
        <v>219</v>
      </c>
      <c r="H133" s="600">
        <v>10957799487.1</v>
      </c>
      <c r="I133" s="600">
        <v>12193002866.439999</v>
      </c>
      <c r="J133" s="600">
        <v>13496733895.73</v>
      </c>
      <c r="K133" s="600">
        <v>14375373226.570004</v>
      </c>
      <c r="L133" s="600">
        <v>15428919212.42</v>
      </c>
      <c r="M133" s="600">
        <v>17190303002.219997</v>
      </c>
      <c r="N133" s="600">
        <v>19031935616.250004</v>
      </c>
      <c r="O133" s="600">
        <v>22175012912.239998</v>
      </c>
      <c r="P133" s="600">
        <v>24569299051.369995</v>
      </c>
      <c r="Q133" s="600">
        <v>26010474304.790005</v>
      </c>
      <c r="R133" s="600">
        <v>35357075194.329994</v>
      </c>
      <c r="S133" s="600">
        <v>37703438744.759995</v>
      </c>
      <c r="T133" s="600">
        <v>39718313172.600006</v>
      </c>
      <c r="U133" s="600">
        <v>42717396164.450005</v>
      </c>
    </row>
    <row r="134" spans="1:21">
      <c r="A134" s="579" t="s">
        <v>507</v>
      </c>
      <c r="B134" t="s">
        <v>508</v>
      </c>
      <c r="C134" s="579" t="s">
        <v>528</v>
      </c>
      <c r="D134" t="s">
        <v>529</v>
      </c>
      <c r="E134" s="579">
        <v>1</v>
      </c>
      <c r="F134" s="579" t="s">
        <v>434</v>
      </c>
      <c r="G134" s="579" t="s">
        <v>220</v>
      </c>
      <c r="H134" s="600">
        <v>12142307977</v>
      </c>
      <c r="I134" s="600">
        <v>12266784399.48</v>
      </c>
      <c r="J134" s="600">
        <v>12933232243.92</v>
      </c>
      <c r="K134" s="600">
        <v>14324270738.24</v>
      </c>
      <c r="L134" s="600">
        <v>16325230912.07</v>
      </c>
      <c r="M134" s="600">
        <v>17638224151.82</v>
      </c>
      <c r="N134" s="600">
        <v>19936650954.900002</v>
      </c>
      <c r="O134" s="600">
        <v>22351788382.849998</v>
      </c>
      <c r="P134" s="600">
        <v>24797341832.199997</v>
      </c>
      <c r="Q134" s="600">
        <v>26262580961.779999</v>
      </c>
      <c r="R134" s="600">
        <v>26676883440.299999</v>
      </c>
      <c r="S134" s="600">
        <v>28892944849.700001</v>
      </c>
      <c r="T134" s="600">
        <v>31821569539.66</v>
      </c>
      <c r="U134" s="600">
        <v>35179933040.369995</v>
      </c>
    </row>
    <row r="135" spans="1:21">
      <c r="A135" s="579" t="s">
        <v>530</v>
      </c>
      <c r="B135" t="s">
        <v>531</v>
      </c>
      <c r="C135" s="579" t="s">
        <v>432</v>
      </c>
      <c r="D135" t="s">
        <v>433</v>
      </c>
      <c r="E135" s="579">
        <v>1</v>
      </c>
      <c r="F135" s="579" t="s">
        <v>434</v>
      </c>
      <c r="G135" s="579" t="s">
        <v>219</v>
      </c>
      <c r="H135" s="600">
        <v>0</v>
      </c>
      <c r="I135" s="600">
        <v>0</v>
      </c>
      <c r="J135" s="600">
        <v>0</v>
      </c>
      <c r="K135" s="600">
        <v>0</v>
      </c>
      <c r="L135" s="600">
        <v>0</v>
      </c>
      <c r="M135" s="600">
        <v>0</v>
      </c>
      <c r="N135" s="600">
        <v>0</v>
      </c>
      <c r="O135" s="600">
        <v>0</v>
      </c>
      <c r="P135" s="600">
        <v>0</v>
      </c>
      <c r="Q135" s="600">
        <v>0</v>
      </c>
      <c r="R135" s="600">
        <v>0</v>
      </c>
      <c r="S135" s="600">
        <v>87600.83</v>
      </c>
      <c r="T135" s="600">
        <v>0</v>
      </c>
      <c r="U135" s="600">
        <v>0</v>
      </c>
    </row>
    <row r="136" spans="1:21">
      <c r="A136" s="579" t="s">
        <v>532</v>
      </c>
      <c r="B136" t="s">
        <v>533</v>
      </c>
      <c r="C136" s="579" t="s">
        <v>432</v>
      </c>
      <c r="D136" t="s">
        <v>433</v>
      </c>
      <c r="E136" s="579">
        <v>1</v>
      </c>
      <c r="F136" s="579" t="s">
        <v>434</v>
      </c>
      <c r="G136" s="579" t="s">
        <v>219</v>
      </c>
      <c r="H136" s="600">
        <v>0</v>
      </c>
      <c r="I136" s="600">
        <v>0</v>
      </c>
      <c r="J136" s="600">
        <v>0</v>
      </c>
      <c r="K136" s="600">
        <v>0</v>
      </c>
      <c r="L136" s="600">
        <v>0</v>
      </c>
      <c r="M136" s="600">
        <v>0</v>
      </c>
      <c r="N136" s="600">
        <v>0</v>
      </c>
      <c r="O136" s="600">
        <v>0</v>
      </c>
      <c r="P136" s="600">
        <v>0</v>
      </c>
      <c r="Q136" s="600">
        <v>0</v>
      </c>
      <c r="R136" s="600">
        <v>0</v>
      </c>
      <c r="S136" s="600">
        <v>316785.81</v>
      </c>
      <c r="T136" s="600">
        <v>0</v>
      </c>
      <c r="U136" s="600">
        <v>118585.58</v>
      </c>
    </row>
    <row r="137" spans="1:21">
      <c r="A137" s="579" t="s">
        <v>534</v>
      </c>
      <c r="B137" t="s">
        <v>535</v>
      </c>
      <c r="C137" s="579" t="s">
        <v>432</v>
      </c>
      <c r="D137" t="s">
        <v>433</v>
      </c>
      <c r="E137" s="579" t="s">
        <v>437</v>
      </c>
      <c r="F137" s="579" t="s">
        <v>434</v>
      </c>
      <c r="G137" s="579" t="s">
        <v>219</v>
      </c>
      <c r="H137" s="600">
        <v>0</v>
      </c>
      <c r="I137" s="600">
        <v>0</v>
      </c>
      <c r="J137" s="600">
        <v>0</v>
      </c>
      <c r="K137" s="600">
        <v>0</v>
      </c>
      <c r="L137" s="600">
        <v>0</v>
      </c>
      <c r="M137" s="600">
        <v>0</v>
      </c>
      <c r="N137" s="600">
        <v>0</v>
      </c>
      <c r="O137" s="600">
        <v>0</v>
      </c>
      <c r="P137" s="600">
        <v>0</v>
      </c>
      <c r="Q137" s="600">
        <v>0</v>
      </c>
      <c r="R137" s="600">
        <v>2207565.9900000002</v>
      </c>
      <c r="S137" s="600">
        <v>1813713.01</v>
      </c>
      <c r="T137" s="600">
        <v>16188.34</v>
      </c>
      <c r="U137" s="600">
        <v>12739.46</v>
      </c>
    </row>
    <row r="138" spans="1:21">
      <c r="A138" s="579" t="s">
        <v>536</v>
      </c>
      <c r="B138" t="s">
        <v>537</v>
      </c>
      <c r="C138" s="579" t="s">
        <v>432</v>
      </c>
      <c r="D138" t="s">
        <v>433</v>
      </c>
      <c r="E138" s="579">
        <v>1</v>
      </c>
      <c r="F138" s="579" t="s">
        <v>434</v>
      </c>
      <c r="G138" s="579" t="s">
        <v>219</v>
      </c>
      <c r="H138" s="600">
        <v>0</v>
      </c>
      <c r="I138" s="600">
        <v>0</v>
      </c>
      <c r="J138" s="600">
        <v>0</v>
      </c>
      <c r="K138" s="600">
        <v>0</v>
      </c>
      <c r="L138" s="600">
        <v>0</v>
      </c>
      <c r="M138" s="600">
        <v>0</v>
      </c>
      <c r="N138" s="600">
        <v>0</v>
      </c>
      <c r="O138" s="600">
        <v>0</v>
      </c>
      <c r="P138" s="600">
        <v>0</v>
      </c>
      <c r="Q138" s="600">
        <v>0</v>
      </c>
      <c r="R138" s="600">
        <v>0</v>
      </c>
      <c r="S138" s="600">
        <v>69036.240000000005</v>
      </c>
      <c r="T138" s="600">
        <v>0</v>
      </c>
      <c r="U138" s="600">
        <v>0</v>
      </c>
    </row>
    <row r="139" spans="1:21">
      <c r="A139" s="579" t="s">
        <v>538</v>
      </c>
      <c r="B139" t="s">
        <v>539</v>
      </c>
      <c r="C139" s="579" t="s">
        <v>432</v>
      </c>
      <c r="D139" t="s">
        <v>433</v>
      </c>
      <c r="E139" s="579">
        <v>1</v>
      </c>
      <c r="F139" s="579" t="s">
        <v>434</v>
      </c>
      <c r="G139" s="579" t="s">
        <v>219</v>
      </c>
      <c r="H139" s="600">
        <v>0</v>
      </c>
      <c r="I139" s="600">
        <v>0</v>
      </c>
      <c r="J139" s="600">
        <v>0</v>
      </c>
      <c r="K139" s="600">
        <v>0</v>
      </c>
      <c r="L139" s="600">
        <v>0</v>
      </c>
      <c r="M139" s="600">
        <v>0</v>
      </c>
      <c r="N139" s="600">
        <v>0</v>
      </c>
      <c r="O139" s="600">
        <v>0</v>
      </c>
      <c r="P139" s="600">
        <v>0</v>
      </c>
      <c r="Q139" s="600">
        <v>0</v>
      </c>
      <c r="R139" s="600">
        <v>102228.41</v>
      </c>
      <c r="S139" s="600">
        <v>0</v>
      </c>
      <c r="T139" s="600">
        <v>0</v>
      </c>
      <c r="U139" s="600">
        <v>0</v>
      </c>
    </row>
    <row r="140" spans="1:21">
      <c r="A140" s="579" t="s">
        <v>540</v>
      </c>
      <c r="B140" t="s">
        <v>541</v>
      </c>
      <c r="C140" s="579" t="s">
        <v>432</v>
      </c>
      <c r="D140" t="s">
        <v>433</v>
      </c>
      <c r="E140" s="579">
        <v>1</v>
      </c>
      <c r="F140" s="579" t="s">
        <v>434</v>
      </c>
      <c r="G140" s="579" t="s">
        <v>219</v>
      </c>
      <c r="H140" s="600">
        <v>0</v>
      </c>
      <c r="I140" s="600">
        <v>0</v>
      </c>
      <c r="J140" s="600">
        <v>0</v>
      </c>
      <c r="K140" s="600">
        <v>0</v>
      </c>
      <c r="L140" s="600">
        <v>0</v>
      </c>
      <c r="M140" s="600">
        <v>0</v>
      </c>
      <c r="N140" s="600">
        <v>0</v>
      </c>
      <c r="O140" s="600">
        <v>0</v>
      </c>
      <c r="P140" s="600">
        <v>0</v>
      </c>
      <c r="Q140" s="600">
        <v>0</v>
      </c>
      <c r="R140" s="600">
        <v>0</v>
      </c>
      <c r="S140" s="600">
        <v>2308.27</v>
      </c>
      <c r="T140" s="600">
        <v>0</v>
      </c>
      <c r="U140" s="600">
        <v>0</v>
      </c>
    </row>
    <row r="141" spans="1:21">
      <c r="A141" s="579" t="s">
        <v>542</v>
      </c>
      <c r="B141" t="s">
        <v>543</v>
      </c>
      <c r="C141" s="579" t="s">
        <v>432</v>
      </c>
      <c r="D141" t="s">
        <v>433</v>
      </c>
      <c r="E141" s="579">
        <v>1</v>
      </c>
      <c r="F141" s="579" t="s">
        <v>434</v>
      </c>
      <c r="G141" s="579" t="s">
        <v>219</v>
      </c>
      <c r="H141" s="600">
        <v>0</v>
      </c>
      <c r="I141" s="600">
        <v>0</v>
      </c>
      <c r="J141" s="600">
        <v>0</v>
      </c>
      <c r="K141" s="600">
        <v>216111.34</v>
      </c>
      <c r="L141" s="600">
        <v>3490.83</v>
      </c>
      <c r="M141" s="600">
        <v>0</v>
      </c>
      <c r="N141" s="600">
        <v>0</v>
      </c>
      <c r="O141" s="600">
        <v>0</v>
      </c>
      <c r="P141" s="600">
        <v>5388.52</v>
      </c>
      <c r="Q141" s="600">
        <v>0</v>
      </c>
      <c r="R141" s="600">
        <v>0</v>
      </c>
      <c r="S141" s="600">
        <v>0</v>
      </c>
      <c r="T141" s="600">
        <v>0</v>
      </c>
      <c r="U141" s="600">
        <v>0</v>
      </c>
    </row>
  </sheetData>
  <pageMargins left="0.511811024" right="0.511811024" top="0.78740157499999996" bottom="0.78740157499999996" header="0.31496062000000002" footer="0.31496062000000002"/>
  <pageSetup paperSize="9" orientation="portrait" r:id="rId1"/>
  <ignoredErrors>
    <ignoredError sqref="U1 A2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S130"/>
  <sheetViews>
    <sheetView showGridLines="0" workbookViewId="0">
      <selection activeCell="S7" sqref="S7"/>
    </sheetView>
  </sheetViews>
  <sheetFormatPr defaultRowHeight="16.5" customHeight="1"/>
  <cols>
    <col min="1" max="1" width="9.140625" style="15"/>
    <col min="2" max="2" width="5.42578125" style="15" customWidth="1"/>
    <col min="3" max="3" width="25" style="15" customWidth="1"/>
    <col min="4" max="4" width="9" style="15" bestFit="1" customWidth="1"/>
    <col min="5" max="12" width="7.5703125" style="15" bestFit="1" customWidth="1"/>
    <col min="13" max="14" width="7.5703125" style="15" customWidth="1"/>
    <col min="15" max="15" width="7.5703125" style="15" bestFit="1" customWidth="1"/>
    <col min="16" max="16" width="8" style="15" customWidth="1"/>
    <col min="17" max="17" width="7.5703125" style="15" customWidth="1"/>
    <col min="18" max="16384" width="9.140625" style="15"/>
  </cols>
  <sheetData>
    <row r="2" spans="2:17" s="37" customFormat="1" ht="33" customHeight="1">
      <c r="B2" s="606" t="s">
        <v>277</v>
      </c>
      <c r="C2" s="607"/>
      <c r="D2" s="607"/>
      <c r="E2" s="607"/>
      <c r="F2" s="607"/>
      <c r="G2" s="607"/>
      <c r="H2" s="607"/>
      <c r="I2" s="607"/>
      <c r="J2" s="607"/>
      <c r="K2" s="607"/>
      <c r="L2" s="607"/>
      <c r="M2" s="607"/>
      <c r="N2" s="607"/>
      <c r="O2" s="607"/>
      <c r="P2" s="607"/>
      <c r="Q2" s="607"/>
    </row>
    <row r="3" spans="2:17" s="34" customFormat="1" ht="35.25" customHeight="1">
      <c r="B3" s="32"/>
      <c r="C3" s="32"/>
      <c r="D3" s="33">
        <v>2002</v>
      </c>
      <c r="E3" s="33">
        <v>2003</v>
      </c>
      <c r="F3" s="33">
        <v>2004</v>
      </c>
      <c r="G3" s="33">
        <v>2005</v>
      </c>
      <c r="H3" s="33">
        <v>2006</v>
      </c>
      <c r="I3" s="33">
        <v>2007</v>
      </c>
      <c r="J3" s="33">
        <v>2008</v>
      </c>
      <c r="K3" s="33">
        <v>2009</v>
      </c>
      <c r="L3" s="33">
        <v>2010</v>
      </c>
      <c r="M3" s="33">
        <v>2011</v>
      </c>
      <c r="N3" s="33">
        <v>2012</v>
      </c>
      <c r="O3" s="33">
        <v>2013</v>
      </c>
      <c r="P3" s="33">
        <v>2014</v>
      </c>
      <c r="Q3" s="33">
        <v>2015</v>
      </c>
    </row>
    <row r="4" spans="2:17" ht="19.5" customHeight="1">
      <c r="B4" s="602" t="s">
        <v>47</v>
      </c>
      <c r="C4" s="42" t="s">
        <v>22</v>
      </c>
      <c r="D4" s="43">
        <f>RGPS_Quantidade_Dezembro_Cálc!AD26</f>
        <v>11687.795</v>
      </c>
      <c r="E4" s="43">
        <f>RGPS_Quantidade_Dezembro_Cálc!AE26</f>
        <v>11894.937</v>
      </c>
      <c r="F4" s="43">
        <f>RGPS_Quantidade_Dezembro_Cálc!AF26</f>
        <v>12366.24</v>
      </c>
      <c r="G4" s="43">
        <f>RGPS_Quantidade_Dezembro_Cálc!AG26</f>
        <v>12958.119000000001</v>
      </c>
      <c r="H4" s="43">
        <f>RGPS_Quantidade_Dezembro_Cálc!AH26</f>
        <v>13562.187</v>
      </c>
      <c r="I4" s="43">
        <f>RGPS_Quantidade_Dezembro_Cálc!AI26</f>
        <v>14010.026</v>
      </c>
      <c r="J4" s="43">
        <f>RGPS_Quantidade_Dezembro_Cálc!AJ26</f>
        <v>14520.822</v>
      </c>
      <c r="K4" s="43">
        <f>RGPS_Quantidade_Dezembro_Cálc!AK26</f>
        <v>15173.955</v>
      </c>
      <c r="L4" s="43">
        <f>RGPS_Quantidade_Dezembro_Cálc!AL26</f>
        <v>15629.322</v>
      </c>
      <c r="M4" s="43">
        <f>RGPS_Quantidade_Dezembro_Cálc!AM26</f>
        <v>15974.302</v>
      </c>
      <c r="N4" s="43">
        <f>RGPS_Quantidade_Dezembro_Cálc!AN26</f>
        <v>16868.687999999998</v>
      </c>
      <c r="O4" s="43">
        <f>RGPS_Quantidade_Dezembro_Cálc!AO26</f>
        <v>17452.419000000002</v>
      </c>
      <c r="P4" s="43">
        <f>RGPS_Quantidade_Dezembro_Cálc!AP26</f>
        <v>17895.841</v>
      </c>
      <c r="Q4" s="29">
        <f>('Beps 2015'!E6+'Beps 2015'!E3)/1000</f>
        <v>18152.509999999998</v>
      </c>
    </row>
    <row r="5" spans="2:17" s="18" customFormat="1" ht="19.5" customHeight="1">
      <c r="B5" s="603"/>
      <c r="D5" s="19">
        <f t="shared" ref="D5:Q5" si="0">D4/D8</f>
        <v>0.61929750677514239</v>
      </c>
      <c r="E5" s="19">
        <f t="shared" si="0"/>
        <v>0.60933225334873264</v>
      </c>
      <c r="F5" s="19">
        <f t="shared" si="0"/>
        <v>0.60272381426406973</v>
      </c>
      <c r="G5" s="19">
        <f t="shared" si="0"/>
        <v>0.61244139784140739</v>
      </c>
      <c r="H5" s="19">
        <f t="shared" si="0"/>
        <v>0.6265769949805694</v>
      </c>
      <c r="I5" s="19">
        <f t="shared" si="0"/>
        <v>0.63490705245378432</v>
      </c>
      <c r="J5" s="19">
        <f t="shared" si="0"/>
        <v>0.63754352404186732</v>
      </c>
      <c r="K5" s="19">
        <f t="shared" si="0"/>
        <v>0.64475374170945743</v>
      </c>
      <c r="L5" s="19">
        <f t="shared" si="0"/>
        <v>0.63984105707801753</v>
      </c>
      <c r="M5" s="19">
        <f t="shared" si="0"/>
        <v>0.63449702325474611</v>
      </c>
      <c r="N5" s="19">
        <f t="shared" si="0"/>
        <v>0.64797687383884706</v>
      </c>
      <c r="O5" s="19">
        <f t="shared" si="0"/>
        <v>0.64617023555582997</v>
      </c>
      <c r="P5" s="19">
        <f t="shared" si="0"/>
        <v>0.64329624964947485</v>
      </c>
      <c r="Q5" s="19">
        <f t="shared" si="0"/>
        <v>0.64196800244387975</v>
      </c>
    </row>
    <row r="6" spans="2:17" ht="19.5" customHeight="1">
      <c r="B6" s="603"/>
      <c r="C6" s="41" t="s">
        <v>40</v>
      </c>
      <c r="D6" s="29">
        <f>RGPS_Quantidade_Dezembro_Cálc!AD27</f>
        <v>7184.871000000001</v>
      </c>
      <c r="E6" s="29">
        <f>RGPS_Quantidade_Dezembro_Cálc!AE27</f>
        <v>7626.3289999999997</v>
      </c>
      <c r="F6" s="29">
        <f>RGPS_Quantidade_Dezembro_Cálc!AF27</f>
        <v>8151.0180000000018</v>
      </c>
      <c r="G6" s="29">
        <f>RGPS_Quantidade_Dezembro_Cálc!AG27</f>
        <v>8200.0179999999982</v>
      </c>
      <c r="H6" s="29">
        <f>RGPS_Quantidade_Dezembro_Cálc!AH27</f>
        <v>8082.6979999999985</v>
      </c>
      <c r="I6" s="29">
        <f>RGPS_Quantidade_Dezembro_Cálc!AI27</f>
        <v>8056.2369999999992</v>
      </c>
      <c r="J6" s="29">
        <f>RGPS_Quantidade_Dezembro_Cálc!AJ27</f>
        <v>8255.3830000000016</v>
      </c>
      <c r="K6" s="29">
        <f>RGPS_Quantidade_Dezembro_Cálc!AK27</f>
        <v>8360.5419999999995</v>
      </c>
      <c r="L6" s="29">
        <f>RGPS_Quantidade_Dezembro_Cálc!AL27</f>
        <v>8797.5600000000013</v>
      </c>
      <c r="M6" s="29">
        <f>RGPS_Quantidade_Dezembro_Cálc!AM27</f>
        <v>9202.0210000000006</v>
      </c>
      <c r="N6" s="29">
        <f>RGPS_Quantidade_Dezembro_Cálc!AN27</f>
        <v>9164.1670000000013</v>
      </c>
      <c r="O6" s="29">
        <f>RGPS_Quantidade_Dezembro_Cálc!AO27</f>
        <v>9556.5919999999969</v>
      </c>
      <c r="P6" s="29">
        <f>RGPS_Quantidade_Dezembro_Cálc!AP27</f>
        <v>9923.1319999999996</v>
      </c>
      <c r="Q6" s="29">
        <f>('Beps 2015'!E7+'Beps 2015'!E4)/1000</f>
        <v>10123.837000000007</v>
      </c>
    </row>
    <row r="7" spans="2:17" s="18" customFormat="1" ht="19.5" customHeight="1">
      <c r="B7" s="603"/>
      <c r="D7" s="19">
        <f t="shared" ref="D7:Q7" si="1">D6/D8</f>
        <v>0.38070249322485761</v>
      </c>
      <c r="E7" s="19">
        <f t="shared" si="1"/>
        <v>0.39066774665126741</v>
      </c>
      <c r="F7" s="19">
        <f t="shared" si="1"/>
        <v>0.39727618573593027</v>
      </c>
      <c r="G7" s="19">
        <f t="shared" si="1"/>
        <v>0.38755860215859261</v>
      </c>
      <c r="H7" s="19">
        <f t="shared" si="1"/>
        <v>0.37342300501943065</v>
      </c>
      <c r="I7" s="19">
        <f t="shared" si="1"/>
        <v>0.36509294754621568</v>
      </c>
      <c r="J7" s="19">
        <f t="shared" si="1"/>
        <v>0.36245647595813268</v>
      </c>
      <c r="K7" s="19">
        <f t="shared" si="1"/>
        <v>0.35524625829054257</v>
      </c>
      <c r="L7" s="19">
        <f t="shared" si="1"/>
        <v>0.36015894292198247</v>
      </c>
      <c r="M7" s="19">
        <f t="shared" si="1"/>
        <v>0.36550297674525389</v>
      </c>
      <c r="N7" s="19">
        <f t="shared" si="1"/>
        <v>0.35202312616115294</v>
      </c>
      <c r="O7" s="19">
        <f t="shared" si="1"/>
        <v>0.35382976444417003</v>
      </c>
      <c r="P7" s="19">
        <f t="shared" si="1"/>
        <v>0.35670375035052515</v>
      </c>
      <c r="Q7" s="19">
        <f t="shared" si="1"/>
        <v>0.35803199755612009</v>
      </c>
    </row>
    <row r="8" spans="2:17" ht="19.5" customHeight="1">
      <c r="B8" s="604"/>
      <c r="C8" s="44" t="s">
        <v>3</v>
      </c>
      <c r="D8" s="45">
        <f t="shared" ref="D8:P8" si="2">SUM(D4,D6)</f>
        <v>18872.666000000001</v>
      </c>
      <c r="E8" s="45">
        <f t="shared" si="2"/>
        <v>19521.266</v>
      </c>
      <c r="F8" s="45">
        <f t="shared" si="2"/>
        <v>20517.258000000002</v>
      </c>
      <c r="G8" s="45">
        <f t="shared" si="2"/>
        <v>21158.136999999999</v>
      </c>
      <c r="H8" s="45">
        <f t="shared" si="2"/>
        <v>21644.884999999998</v>
      </c>
      <c r="I8" s="45">
        <f t="shared" si="2"/>
        <v>22066.262999999999</v>
      </c>
      <c r="J8" s="45">
        <f t="shared" si="2"/>
        <v>22776.205000000002</v>
      </c>
      <c r="K8" s="45">
        <f t="shared" si="2"/>
        <v>23534.496999999999</v>
      </c>
      <c r="L8" s="45">
        <f t="shared" si="2"/>
        <v>24426.882000000001</v>
      </c>
      <c r="M8" s="45">
        <f t="shared" si="2"/>
        <v>25176.323</v>
      </c>
      <c r="N8" s="45">
        <f t="shared" si="2"/>
        <v>26032.855</v>
      </c>
      <c r="O8" s="45">
        <f t="shared" si="2"/>
        <v>27009.010999999999</v>
      </c>
      <c r="P8" s="45">
        <f t="shared" si="2"/>
        <v>27818.972999999998</v>
      </c>
      <c r="Q8" s="45">
        <f>('Beps 2015'!E5+'Beps 2015'!E8)/1000</f>
        <v>28276.347000000009</v>
      </c>
    </row>
    <row r="9" spans="2:17" s="18" customFormat="1" ht="19.5" customHeight="1">
      <c r="B9" s="603" t="s">
        <v>69</v>
      </c>
      <c r="C9" s="15" t="s">
        <v>22</v>
      </c>
      <c r="D9" s="14">
        <f>'RGPS_Valor Acumulado'!AD66/1000</f>
        <v>28.21058560822199</v>
      </c>
      <c r="E9" s="14">
        <f>'RGPS_Valor Acumulado'!AE66/1000</f>
        <v>34.03217410260153</v>
      </c>
      <c r="F9" s="14">
        <f>'RGPS_Valor Acumulado'!AF66/1000</f>
        <v>38.813532454190657</v>
      </c>
      <c r="G9" s="14">
        <f>'RGPS_Valor Acumulado'!AG66/1000</f>
        <v>45.504417884816384</v>
      </c>
      <c r="H9" s="14">
        <f>'RGPS_Valor Acumulado'!AH66/1000</f>
        <v>54.433724478657695</v>
      </c>
      <c r="I9" s="14">
        <f>'RGPS_Valor Acumulado'!AI66/1000</f>
        <v>60.998874337884949</v>
      </c>
      <c r="J9" s="14">
        <f>'RGPS_Valor Acumulado'!AJ66/1000</f>
        <v>68.694404891774596</v>
      </c>
      <c r="K9" s="14">
        <f>'RGPS_Valor Acumulado'!AK66/1000</f>
        <v>81.342691226186545</v>
      </c>
      <c r="L9" s="14">
        <f>'RGPS_Valor Acumulado'!AL66/1000</f>
        <v>91.423069948912399</v>
      </c>
      <c r="M9" s="14">
        <f>'RGPS_Valor Acumulado'!AM66/1000</f>
        <v>99.301181906938808</v>
      </c>
      <c r="N9" s="14">
        <f>'RGPS_Valor Acumulado'!AN66/1000</f>
        <v>119.05582119319034</v>
      </c>
      <c r="O9" s="14">
        <f>'RGPS_Valor Acumulado'!AO66/1000</f>
        <v>133.86303889538888</v>
      </c>
      <c r="P9" s="14">
        <f>'RGPS_Valor Acumulado'!AP66/1000</f>
        <v>148.46056510993699</v>
      </c>
      <c r="Q9" s="14">
        <f>SUM('Beps 2015'!Q4:Q5,'Beps 2015'!Q7:Q8)/1000000000</f>
        <v>168.51462050084973</v>
      </c>
    </row>
    <row r="10" spans="2:17" ht="19.5" customHeight="1">
      <c r="B10" s="603"/>
      <c r="C10" s="52"/>
      <c r="D10" s="24">
        <f t="shared" ref="D10:Q10" si="3">D9/D13</f>
        <v>0.3371486180395924</v>
      </c>
      <c r="E10" s="24">
        <f t="shared" si="3"/>
        <v>0.33247292386575944</v>
      </c>
      <c r="F10" s="24">
        <f t="shared" si="3"/>
        <v>0.3260065705311484</v>
      </c>
      <c r="G10" s="24">
        <f t="shared" si="3"/>
        <v>0.34214455189012227</v>
      </c>
      <c r="H10" s="24">
        <f t="shared" si="3"/>
        <v>0.37149683125806671</v>
      </c>
      <c r="I10" s="24">
        <f t="shared" si="3"/>
        <v>0.38311497212769724</v>
      </c>
      <c r="J10" s="24">
        <f t="shared" si="3"/>
        <v>0.39238560752149454</v>
      </c>
      <c r="K10" s="24">
        <f t="shared" si="3"/>
        <v>0.4086608909419201</v>
      </c>
      <c r="L10" s="24">
        <f t="shared" si="3"/>
        <v>0.40918038097635284</v>
      </c>
      <c r="M10" s="24">
        <f t="shared" si="3"/>
        <v>0.40235019853204412</v>
      </c>
      <c r="N10" s="24">
        <f t="shared" si="3"/>
        <v>0.42706321217447268</v>
      </c>
      <c r="O10" s="24">
        <f t="shared" si="3"/>
        <v>0.42965049477923611</v>
      </c>
      <c r="P10" s="24">
        <f t="shared" si="3"/>
        <v>0.43246465707368981</v>
      </c>
      <c r="Q10" s="24">
        <f t="shared" si="3"/>
        <v>0.44320967364288238</v>
      </c>
    </row>
    <row r="11" spans="2:17" s="18" customFormat="1" ht="19.5" customHeight="1">
      <c r="B11" s="603"/>
      <c r="C11" s="15" t="s">
        <v>40</v>
      </c>
      <c r="D11" s="14">
        <f>'RGPS_Valor Acumulado'!AD27/1000</f>
        <v>55.463450406688011</v>
      </c>
      <c r="E11" s="14">
        <f>'RGPS_Valor Acumulado'!AE27/1000</f>
        <v>68.328564651398466</v>
      </c>
      <c r="F11" s="14">
        <f>'RGPS_Valor Acumulado'!AF27/1000</f>
        <v>80.243983444809331</v>
      </c>
      <c r="G11" s="14">
        <f>'RGPS_Valor Acumulado'!AG27/1000</f>
        <v>87.493221953183621</v>
      </c>
      <c r="H11" s="14">
        <f>'RGPS_Valor Acumulado'!AH27/1000</f>
        <v>92.091682734962305</v>
      </c>
      <c r="I11" s="14">
        <f>'RGPS_Valor Acumulado'!AI27/1000</f>
        <v>98.219320657515084</v>
      </c>
      <c r="J11" s="14">
        <f>'RGPS_Valor Acumulado'!AJ27/1000</f>
        <v>106.37421020265539</v>
      </c>
      <c r="K11" s="14">
        <f>'RGPS_Valor Acumulado'!AK27/1000</f>
        <v>117.70422769649343</v>
      </c>
      <c r="L11" s="14">
        <f>'RGPS_Valor Acumulado'!AL27/1000</f>
        <v>132.00667937280758</v>
      </c>
      <c r="M11" s="14">
        <f>'RGPS_Valor Acumulado'!AM27/1000</f>
        <v>147.50168353027118</v>
      </c>
      <c r="N11" s="14">
        <f>'RGPS_Valor Acumulado'!AN27/1000</f>
        <v>159.72216248513968</v>
      </c>
      <c r="O11" s="14">
        <f>'RGPS_Valor Acumulado'!AO27/1000</f>
        <v>177.69959287621111</v>
      </c>
      <c r="P11" s="14">
        <f>'RGPS_Valor Acumulado'!AP27/1000</f>
        <v>194.82890995262301</v>
      </c>
      <c r="Q11" s="14">
        <f>('Beps 2015'!Q3+'Beps 2015'!Q6-SUM('Beps 2015'!Q4:Q5,'Beps 2015'!Q7:Q8))/1000000000</f>
        <v>211.6995998156294</v>
      </c>
    </row>
    <row r="12" spans="2:17" ht="19.5" customHeight="1">
      <c r="B12" s="603"/>
      <c r="C12" s="52"/>
      <c r="D12" s="24">
        <f t="shared" ref="D12:Q12" si="4">D11/D13</f>
        <v>0.6628513819604076</v>
      </c>
      <c r="E12" s="24">
        <f t="shared" si="4"/>
        <v>0.66752707613424056</v>
      </c>
      <c r="F12" s="24">
        <f t="shared" si="4"/>
        <v>0.67399342946885166</v>
      </c>
      <c r="G12" s="24">
        <f t="shared" si="4"/>
        <v>0.65785544810987773</v>
      </c>
      <c r="H12" s="24">
        <f t="shared" si="4"/>
        <v>0.62850316874193335</v>
      </c>
      <c r="I12" s="24">
        <f t="shared" si="4"/>
        <v>0.6168850278723027</v>
      </c>
      <c r="J12" s="24">
        <f t="shared" si="4"/>
        <v>0.60761439247850546</v>
      </c>
      <c r="K12" s="24">
        <f t="shared" si="4"/>
        <v>0.59133910905807985</v>
      </c>
      <c r="L12" s="24">
        <f t="shared" si="4"/>
        <v>0.5908196190236471</v>
      </c>
      <c r="M12" s="24">
        <f t="shared" si="4"/>
        <v>0.59764980146795588</v>
      </c>
      <c r="N12" s="24">
        <f t="shared" si="4"/>
        <v>0.57293678782552726</v>
      </c>
      <c r="O12" s="24">
        <f t="shared" si="4"/>
        <v>0.570349505220764</v>
      </c>
      <c r="P12" s="24">
        <f t="shared" si="4"/>
        <v>0.56753534292631025</v>
      </c>
      <c r="Q12" s="24">
        <f t="shared" si="4"/>
        <v>0.55679032635711745</v>
      </c>
    </row>
    <row r="13" spans="2:17" s="18" customFormat="1" ht="19.5" customHeight="1">
      <c r="B13" s="605"/>
      <c r="C13" s="17" t="s">
        <v>3</v>
      </c>
      <c r="D13" s="46">
        <f t="shared" ref="D13:P13" si="5">SUM(D9,D11)</f>
        <v>83.674036014910001</v>
      </c>
      <c r="E13" s="46">
        <f t="shared" si="5"/>
        <v>102.360738754</v>
      </c>
      <c r="F13" s="46">
        <f t="shared" si="5"/>
        <v>119.05751589899998</v>
      </c>
      <c r="G13" s="46">
        <f t="shared" si="5"/>
        <v>132.997639838</v>
      </c>
      <c r="H13" s="46">
        <f t="shared" si="5"/>
        <v>146.52540721361999</v>
      </c>
      <c r="I13" s="46">
        <f t="shared" si="5"/>
        <v>159.21819499540004</v>
      </c>
      <c r="J13" s="46">
        <f t="shared" si="5"/>
        <v>175.06861509442999</v>
      </c>
      <c r="K13" s="46">
        <f t="shared" si="5"/>
        <v>199.04691892267999</v>
      </c>
      <c r="L13" s="46">
        <f t="shared" si="5"/>
        <v>223.42974932171998</v>
      </c>
      <c r="M13" s="46">
        <f t="shared" si="5"/>
        <v>246.80286543720999</v>
      </c>
      <c r="N13" s="46">
        <f t="shared" si="5"/>
        <v>278.77798367833003</v>
      </c>
      <c r="O13" s="46">
        <f t="shared" si="5"/>
        <v>311.56263177159997</v>
      </c>
      <c r="P13" s="46">
        <f t="shared" si="5"/>
        <v>343.28947506255997</v>
      </c>
      <c r="Q13" s="46">
        <f>'Beps 2015'!P9/1000000000</f>
        <v>380.21422031647921</v>
      </c>
    </row>
    <row r="14" spans="2:17" s="18" customFormat="1" ht="16.5" customHeight="1">
      <c r="B14" s="18" t="s">
        <v>62</v>
      </c>
      <c r="Q14" s="20"/>
    </row>
    <row r="16" spans="2:17" ht="16.5" customHeight="1">
      <c r="D16" s="102"/>
      <c r="E16" s="102"/>
      <c r="F16" s="102"/>
      <c r="G16" s="102"/>
      <c r="H16" s="102"/>
      <c r="I16" s="102"/>
      <c r="J16" s="102"/>
      <c r="K16" s="102"/>
      <c r="L16" s="103"/>
      <c r="M16" s="103"/>
      <c r="N16" s="103"/>
      <c r="O16" s="103"/>
      <c r="P16" s="103"/>
    </row>
    <row r="17" spans="2:17" s="37" customFormat="1" ht="24.75" customHeight="1">
      <c r="C17" s="38" t="s">
        <v>278</v>
      </c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</row>
    <row r="18" spans="2:17" s="34" customFormat="1" ht="35.25" customHeight="1">
      <c r="C18" s="32"/>
      <c r="D18" s="36">
        <v>2002</v>
      </c>
      <c r="E18" s="36">
        <v>2003</v>
      </c>
      <c r="F18" s="36">
        <v>2004</v>
      </c>
      <c r="G18" s="36">
        <v>2005</v>
      </c>
      <c r="H18" s="36">
        <v>2006</v>
      </c>
      <c r="I18" s="36">
        <v>2007</v>
      </c>
      <c r="J18" s="36">
        <v>2008</v>
      </c>
      <c r="K18" s="36">
        <v>2009</v>
      </c>
      <c r="L18" s="36">
        <v>2010</v>
      </c>
      <c r="M18" s="36">
        <v>2011</v>
      </c>
      <c r="N18" s="36">
        <v>2012</v>
      </c>
      <c r="O18" s="36">
        <v>2013</v>
      </c>
      <c r="P18" s="36">
        <v>2014</v>
      </c>
      <c r="Q18" s="15"/>
    </row>
    <row r="19" spans="2:17" ht="16.5" customHeight="1">
      <c r="B19" s="16"/>
      <c r="C19" s="50" t="s">
        <v>53</v>
      </c>
      <c r="D19" s="26">
        <f>RGPS_Quantidade_Dezembro_Cálc!Q5</f>
        <v>1.857</v>
      </c>
      <c r="E19" s="26">
        <f>RGPS_Quantidade_Dezembro_Cálc!R5</f>
        <v>1.91</v>
      </c>
      <c r="F19" s="26">
        <f>RGPS_Quantidade_Dezembro_Cálc!S5</f>
        <v>2.15</v>
      </c>
      <c r="G19" s="26">
        <f>RGPS_Quantidade_Dezembro_Cálc!T5</f>
        <v>2.9990000000000001</v>
      </c>
      <c r="H19" s="26">
        <f>RGPS_Quantidade_Dezembro_Cálc!U5</f>
        <v>4.0970000000000004</v>
      </c>
      <c r="I19" s="26">
        <f>RGPS_Quantidade_Dezembro_Cálc!V5</f>
        <v>4.9039999999999999</v>
      </c>
      <c r="J19" s="26">
        <f>RGPS_Quantidade_Dezembro_Cálc!W5</f>
        <v>5.8810000000000002</v>
      </c>
      <c r="K19" s="26">
        <f>RGPS_Quantidade_Dezembro_Cálc!X5</f>
        <v>7.431</v>
      </c>
      <c r="L19" s="26">
        <f>RGPS_Quantidade_Dezembro_Cálc!Y5</f>
        <v>8.2729999999999997</v>
      </c>
      <c r="M19" s="26">
        <f>RGPS_Quantidade_Dezembro_Cálc!Z5</f>
        <v>9.0340000000000007</v>
      </c>
      <c r="N19" s="26">
        <f>RGPS_Quantidade_Dezembro_Cálc!AA5</f>
        <v>10.372999999999999</v>
      </c>
      <c r="O19" s="26">
        <f>RGPS_Quantidade_Dezembro_Cálc!AB5</f>
        <v>11.397</v>
      </c>
      <c r="P19" s="26">
        <f>RGPS_Quantidade_Dezembro_Cálc!AC5</f>
        <v>12.355</v>
      </c>
    </row>
    <row r="20" spans="2:17" s="18" customFormat="1" ht="16.5" customHeight="1">
      <c r="B20" s="21"/>
      <c r="C20" s="51" t="s">
        <v>99</v>
      </c>
      <c r="D20" s="19">
        <f>RGPS_Quantidade_Dezembro_Cálc!Q5/RGPS_Quantidade_Dezembro_Cálc!Q4</f>
        <v>0.2827775239835541</v>
      </c>
      <c r="E20" s="19">
        <f>RGPS_Quantidade_Dezembro_Cálc!R5/RGPS_Quantidade_Dezembro_Cálc!R4</f>
        <v>0.27529547420005768</v>
      </c>
      <c r="F20" s="19">
        <f>RGPS_Quantidade_Dezembro_Cálc!S5/RGPS_Quantidade_Dezembro_Cálc!S4</f>
        <v>0.281413612565445</v>
      </c>
      <c r="G20" s="19">
        <f>RGPS_Quantidade_Dezembro_Cálc!T5/RGPS_Quantidade_Dezembro_Cálc!T4</f>
        <v>0.33288933288933287</v>
      </c>
      <c r="H20" s="19">
        <f>RGPS_Quantidade_Dezembro_Cálc!U5/RGPS_Quantidade_Dezembro_Cálc!U4</f>
        <v>0.39160772318868292</v>
      </c>
      <c r="I20" s="19">
        <f>RGPS_Quantidade_Dezembro_Cálc!V5/RGPS_Quantidade_Dezembro_Cálc!V4</f>
        <v>0.43074220465524815</v>
      </c>
      <c r="J20" s="19">
        <f>RGPS_Quantidade_Dezembro_Cálc!W5/RGPS_Quantidade_Dezembro_Cálc!W4</f>
        <v>0.46515858577869174</v>
      </c>
      <c r="K20" s="19">
        <f>RGPS_Quantidade_Dezembro_Cálc!X5/RGPS_Quantidade_Dezembro_Cálc!X4</f>
        <v>0.52220660576247369</v>
      </c>
      <c r="L20" s="19">
        <f>RGPS_Quantidade_Dezembro_Cálc!Y5/RGPS_Quantidade_Dezembro_Cálc!Y4</f>
        <v>0.53930899608865712</v>
      </c>
      <c r="M20" s="19">
        <f>RGPS_Quantidade_Dezembro_Cálc!Z5/RGPS_Quantidade_Dezembro_Cálc!Z4</f>
        <v>0.5524368617379074</v>
      </c>
      <c r="N20" s="19">
        <f>RGPS_Quantidade_Dezembro_Cálc!AA5/RGPS_Quantidade_Dezembro_Cálc!AA4</f>
        <v>0.60046309696092626</v>
      </c>
      <c r="O20" s="19">
        <f>RGPS_Quantidade_Dezembro_Cálc!AB5/RGPS_Quantidade_Dezembro_Cálc!AB4</f>
        <v>0.62125919869174162</v>
      </c>
      <c r="P20" s="19">
        <f>RGPS_Quantidade_Dezembro_Cálc!AC5/RGPS_Quantidade_Dezembro_Cálc!AC4</f>
        <v>0.63316763183518676</v>
      </c>
      <c r="Q20" s="15"/>
    </row>
    <row r="21" spans="2:17" ht="16.5" customHeight="1">
      <c r="B21" s="16"/>
      <c r="C21" s="50" t="s">
        <v>48</v>
      </c>
      <c r="D21" s="26">
        <f>RGPS_Quantidade_Dezembro_Cálc!Q8</f>
        <v>4264.0910000000003</v>
      </c>
      <c r="E21" s="26">
        <f>RGPS_Quantidade_Dezembro_Cálc!R8</f>
        <v>4378.1850000000004</v>
      </c>
      <c r="F21" s="26">
        <f>RGPS_Quantidade_Dezembro_Cálc!S8</f>
        <v>4496.0709999999999</v>
      </c>
      <c r="G21" s="26">
        <f>RGPS_Quantidade_Dezembro_Cálc!T8</f>
        <v>4626.2860000000001</v>
      </c>
      <c r="H21" s="26">
        <f>RGPS_Quantidade_Dezembro_Cálc!U8</f>
        <v>4773.8339999999998</v>
      </c>
      <c r="I21" s="26">
        <f>RGPS_Quantidade_Dezembro_Cálc!V8</f>
        <v>4928.9759999999997</v>
      </c>
      <c r="J21" s="26">
        <f>RGPS_Quantidade_Dezembro_Cálc!W8</f>
        <v>5106.5460000000003</v>
      </c>
      <c r="K21" s="26">
        <f>RGPS_Quantidade_Dezembro_Cálc!X8</f>
        <v>5300.9489999999996</v>
      </c>
      <c r="L21" s="26">
        <f>RGPS_Quantidade_Dezembro_Cálc!Y8</f>
        <v>5476.0050000000001</v>
      </c>
      <c r="M21" s="26">
        <f>RGPS_Quantidade_Dezembro_Cálc!Z8</f>
        <v>5631.9579999999996</v>
      </c>
      <c r="N21" s="26">
        <f>RGPS_Quantidade_Dezembro_Cálc!AA8</f>
        <v>5801.6040000000003</v>
      </c>
      <c r="O21" s="26">
        <f>RGPS_Quantidade_Dezembro_Cálc!AB8</f>
        <v>5972.2110000000002</v>
      </c>
      <c r="P21" s="26">
        <f>RGPS_Quantidade_Dezembro_Cálc!AC8</f>
        <v>6119.1959999999999</v>
      </c>
    </row>
    <row r="22" spans="2:17" s="18" customFormat="1" ht="16.5" customHeight="1">
      <c r="B22" s="21"/>
      <c r="C22" s="51" t="s">
        <v>99</v>
      </c>
      <c r="D22" s="19">
        <f>RGPS_Quantidade_Dezembro_Cálc!Q8/RGPS_Quantidade_Dezembro_Cálc!Q7</f>
        <v>0.99446664818018127</v>
      </c>
      <c r="E22" s="19">
        <f>RGPS_Quantidade_Dezembro_Cálc!R8/RGPS_Quantidade_Dezembro_Cálc!R7</f>
        <v>0.99423739105691977</v>
      </c>
      <c r="F22" s="19">
        <f>RGPS_Quantidade_Dezembro_Cálc!S8/RGPS_Quantidade_Dezembro_Cálc!S7</f>
        <v>0.99497122573606456</v>
      </c>
      <c r="G22" s="19">
        <f>RGPS_Quantidade_Dezembro_Cálc!T8/RGPS_Quantidade_Dezembro_Cálc!T7</f>
        <v>0.99545681456298152</v>
      </c>
      <c r="H22" s="19">
        <f>RGPS_Quantidade_Dezembro_Cálc!U8/RGPS_Quantidade_Dezembro_Cálc!U7</f>
        <v>0.99601392798865152</v>
      </c>
      <c r="I22" s="19">
        <f>RGPS_Quantidade_Dezembro_Cálc!V8/RGPS_Quantidade_Dezembro_Cálc!V7</f>
        <v>0.99619487679683283</v>
      </c>
      <c r="J22" s="19">
        <f>RGPS_Quantidade_Dezembro_Cálc!W8/RGPS_Quantidade_Dezembro_Cálc!W7</f>
        <v>0.99632068028198362</v>
      </c>
      <c r="K22" s="19">
        <f>RGPS_Quantidade_Dezembro_Cálc!X8/RGPS_Quantidade_Dezembro_Cálc!X7</f>
        <v>0.99655254548212935</v>
      </c>
      <c r="L22" s="19">
        <f>RGPS_Quantidade_Dezembro_Cálc!Y8/RGPS_Quantidade_Dezembro_Cálc!Y7</f>
        <v>0.99655990600752542</v>
      </c>
      <c r="M22" s="19">
        <f>RGPS_Quantidade_Dezembro_Cálc!Z8/RGPS_Quantidade_Dezembro_Cálc!Z7</f>
        <v>0.99646422415516644</v>
      </c>
      <c r="N22" s="19">
        <f>RGPS_Quantidade_Dezembro_Cálc!AA8/RGPS_Quantidade_Dezembro_Cálc!AA7</f>
        <v>0.9967055961572161</v>
      </c>
      <c r="O22" s="19">
        <f>RGPS_Quantidade_Dezembro_Cálc!AB8/RGPS_Quantidade_Dezembro_Cálc!AB7</f>
        <v>0.99668445570968867</v>
      </c>
      <c r="P22" s="19">
        <f>RGPS_Quantidade_Dezembro_Cálc!AC8/RGPS_Quantidade_Dezembro_Cálc!AC7</f>
        <v>0.99654307203265968</v>
      </c>
      <c r="Q22" s="15"/>
    </row>
    <row r="23" spans="2:17" ht="16.5" customHeight="1">
      <c r="B23" s="16"/>
      <c r="C23" s="50" t="s">
        <v>23</v>
      </c>
      <c r="D23" s="26">
        <f>RGPS_Quantidade_Dezembro_Cálc!Q11</f>
        <v>406.4</v>
      </c>
      <c r="E23" s="26">
        <f>RGPS_Quantidade_Dezembro_Cálc!R11</f>
        <v>408.37</v>
      </c>
      <c r="F23" s="26">
        <f>RGPS_Quantidade_Dezembro_Cálc!S11</f>
        <v>412.61799999999999</v>
      </c>
      <c r="G23" s="26">
        <f>RGPS_Quantidade_Dezembro_Cálc!T11</f>
        <v>426.80099999999999</v>
      </c>
      <c r="H23" s="26">
        <f>RGPS_Quantidade_Dezembro_Cálc!U11</f>
        <v>430.49599999999998</v>
      </c>
      <c r="I23" s="26">
        <f>RGPS_Quantidade_Dezembro_Cálc!V11</f>
        <v>424.57799999999997</v>
      </c>
      <c r="J23" s="26">
        <f>RGPS_Quantidade_Dezembro_Cálc!W11</f>
        <v>427.04199999999997</v>
      </c>
      <c r="K23" s="26">
        <f>RGPS_Quantidade_Dezembro_Cálc!X11</f>
        <v>429.69099999999997</v>
      </c>
      <c r="L23" s="26">
        <f>RGPS_Quantidade_Dezembro_Cálc!Y11</f>
        <v>432.83600000000001</v>
      </c>
      <c r="M23" s="26">
        <f>RGPS_Quantidade_Dezembro_Cálc!Z11</f>
        <v>435.72199999999998</v>
      </c>
      <c r="N23" s="26">
        <f>RGPS_Quantidade_Dezembro_Cálc!AA11</f>
        <v>441.29700000000003</v>
      </c>
      <c r="O23" s="26">
        <f>RGPS_Quantidade_Dezembro_Cálc!AB11</f>
        <v>447.512</v>
      </c>
      <c r="P23" s="26">
        <f>RGPS_Quantidade_Dezembro_Cálc!AC11</f>
        <v>455.19499999999999</v>
      </c>
    </row>
    <row r="24" spans="2:17" s="18" customFormat="1" ht="16.5" customHeight="1">
      <c r="B24" s="21"/>
      <c r="C24" s="51" t="s">
        <v>99</v>
      </c>
      <c r="D24" s="19">
        <f>RGPS_Quantidade_Dezembro_Cálc!Q11/RGPS_Quantidade_Dezembro_Cálc!Q10</f>
        <v>0.95672378602721853</v>
      </c>
      <c r="E24" s="19">
        <f>RGPS_Quantidade_Dezembro_Cálc!R11/RGPS_Quantidade_Dezembro_Cálc!R10</f>
        <v>0.95026562387287283</v>
      </c>
      <c r="F24" s="19">
        <f>RGPS_Quantidade_Dezembro_Cálc!S11/RGPS_Quantidade_Dezembro_Cálc!S10</f>
        <v>0.94952065796195639</v>
      </c>
      <c r="G24" s="19">
        <f>RGPS_Quantidade_Dezembro_Cálc!T11/RGPS_Quantidade_Dezembro_Cálc!T10</f>
        <v>0.95466685157515185</v>
      </c>
      <c r="H24" s="19">
        <f>RGPS_Quantidade_Dezembro_Cálc!U11/RGPS_Quantidade_Dezembro_Cálc!U10</f>
        <v>0.96252059768501019</v>
      </c>
      <c r="I24" s="19">
        <f>RGPS_Quantidade_Dezembro_Cálc!V11/RGPS_Quantidade_Dezembro_Cálc!V10</f>
        <v>0.96573356109388753</v>
      </c>
      <c r="J24" s="19">
        <f>RGPS_Quantidade_Dezembro_Cálc!W11/RGPS_Quantidade_Dezembro_Cálc!W10</f>
        <v>0.96875560042194564</v>
      </c>
      <c r="K24" s="19">
        <f>RGPS_Quantidade_Dezembro_Cálc!X11/RGPS_Quantidade_Dezembro_Cálc!X10</f>
        <v>0.97242659123055153</v>
      </c>
      <c r="L24" s="19">
        <f>RGPS_Quantidade_Dezembro_Cálc!Y11/RGPS_Quantidade_Dezembro_Cálc!Y10</f>
        <v>0.97386882663966701</v>
      </c>
      <c r="M24" s="19">
        <f>RGPS_Quantidade_Dezembro_Cálc!Z11/RGPS_Quantidade_Dezembro_Cálc!Z10</f>
        <v>0.97471069980113056</v>
      </c>
      <c r="N24" s="19">
        <f>RGPS_Quantidade_Dezembro_Cálc!AA11/RGPS_Quantidade_Dezembro_Cálc!AA10</f>
        <v>0.97862446112086865</v>
      </c>
      <c r="O24" s="19">
        <f>RGPS_Quantidade_Dezembro_Cálc!AB11/RGPS_Quantidade_Dezembro_Cálc!AB10</f>
        <v>0.97990321662396818</v>
      </c>
      <c r="P24" s="19">
        <f>RGPS_Quantidade_Dezembro_Cálc!AC11/RGPS_Quantidade_Dezembro_Cálc!AC10</f>
        <v>0.98088207090786461</v>
      </c>
      <c r="Q24" s="15"/>
    </row>
    <row r="25" spans="2:17" ht="16.5" customHeight="1">
      <c r="B25" s="16"/>
      <c r="C25" s="50" t="s">
        <v>24</v>
      </c>
      <c r="D25" s="26">
        <f>RGPS_Quantidade_Dezembro_Cálc!Q14</f>
        <v>1672.7</v>
      </c>
      <c r="E25" s="26">
        <f>RGPS_Quantidade_Dezembro_Cálc!R14</f>
        <v>1715.2449999999999</v>
      </c>
      <c r="F25" s="26">
        <f>RGPS_Quantidade_Dezembro_Cálc!S14</f>
        <v>1764.09</v>
      </c>
      <c r="G25" s="26">
        <f>RGPS_Quantidade_Dezembro_Cálc!T14</f>
        <v>1815.713</v>
      </c>
      <c r="H25" s="26">
        <f>RGPS_Quantidade_Dezembro_Cálc!U14</f>
        <v>1864.298</v>
      </c>
      <c r="I25" s="26">
        <f>RGPS_Quantidade_Dezembro_Cálc!V14</f>
        <v>1919.299</v>
      </c>
      <c r="J25" s="26">
        <f>RGPS_Quantidade_Dezembro_Cálc!W14</f>
        <v>1978.7529999999999</v>
      </c>
      <c r="K25" s="26">
        <f>RGPS_Quantidade_Dezembro_Cálc!X14</f>
        <v>2035.7539999999999</v>
      </c>
      <c r="L25" s="26">
        <f>RGPS_Quantidade_Dezembro_Cálc!Y14</f>
        <v>2086.2950000000001</v>
      </c>
      <c r="M25" s="26">
        <f>RGPS_Quantidade_Dezembro_Cálc!Z14</f>
        <v>2134.8939999999998</v>
      </c>
      <c r="N25" s="26">
        <f>RGPS_Quantidade_Dezembro_Cálc!AA14</f>
        <v>2189.7939999999999</v>
      </c>
      <c r="O25" s="26">
        <f>RGPS_Quantidade_Dezembro_Cálc!AB14</f>
        <v>2242.424</v>
      </c>
      <c r="P25" s="26">
        <f>RGPS_Quantidade_Dezembro_Cálc!AC14</f>
        <v>2286.5230000000001</v>
      </c>
    </row>
    <row r="26" spans="2:17" s="18" customFormat="1" ht="16.5" customHeight="1">
      <c r="B26" s="21"/>
      <c r="C26" s="51" t="s">
        <v>99</v>
      </c>
      <c r="D26" s="19">
        <f>RGPS_Quantidade_Dezembro_Cálc!Q14/RGPS_Quantidade_Dezembro_Cálc!Q13</f>
        <v>0.98352925127828816</v>
      </c>
      <c r="E26" s="19">
        <f>RGPS_Quantidade_Dezembro_Cálc!R14/RGPS_Quantidade_Dezembro_Cálc!R13</f>
        <v>0.98205809976285097</v>
      </c>
      <c r="F26" s="19">
        <f>RGPS_Quantidade_Dezembro_Cálc!S14/RGPS_Quantidade_Dezembro_Cálc!S13</f>
        <v>0.98234377270927609</v>
      </c>
      <c r="G26" s="19">
        <f>RGPS_Quantidade_Dezembro_Cálc!T14/RGPS_Quantidade_Dezembro_Cálc!T13</f>
        <v>0.98538084531471226</v>
      </c>
      <c r="H26" s="19">
        <f>RGPS_Quantidade_Dezembro_Cálc!U14/RGPS_Quantidade_Dezembro_Cálc!U13</f>
        <v>0.98754692614234396</v>
      </c>
      <c r="I26" s="19">
        <f>RGPS_Quantidade_Dezembro_Cálc!V14/RGPS_Quantidade_Dezembro_Cálc!V13</f>
        <v>0.98869539326328892</v>
      </c>
      <c r="J26" s="19">
        <f>RGPS_Quantidade_Dezembro_Cálc!W14/RGPS_Quantidade_Dezembro_Cálc!W13</f>
        <v>0.98918459818795157</v>
      </c>
      <c r="K26" s="19">
        <f>RGPS_Quantidade_Dezembro_Cálc!X14/RGPS_Quantidade_Dezembro_Cálc!X13</f>
        <v>0.98996830843281636</v>
      </c>
      <c r="L26" s="19">
        <f>RGPS_Quantidade_Dezembro_Cálc!Y14/RGPS_Quantidade_Dezembro_Cálc!Y13</f>
        <v>0.98965045991367651</v>
      </c>
      <c r="M26" s="19">
        <f>RGPS_Quantidade_Dezembro_Cálc!Z14/RGPS_Quantidade_Dezembro_Cálc!Z13</f>
        <v>0.98960469471381141</v>
      </c>
      <c r="N26" s="19">
        <f>RGPS_Quantidade_Dezembro_Cálc!AA14/RGPS_Quantidade_Dezembro_Cálc!AA13</f>
        <v>0.99122883651831395</v>
      </c>
      <c r="O26" s="19">
        <f>RGPS_Quantidade_Dezembro_Cálc!AB14/RGPS_Quantidade_Dezembro_Cálc!AB13</f>
        <v>0.99129268505088808</v>
      </c>
      <c r="P26" s="19">
        <f>RGPS_Quantidade_Dezembro_Cálc!AC14/RGPS_Quantidade_Dezembro_Cálc!AC13</f>
        <v>0.99139341294751548</v>
      </c>
      <c r="Q26" s="15"/>
    </row>
    <row r="27" spans="2:17" ht="16.5" customHeight="1">
      <c r="B27" s="16"/>
      <c r="C27" s="50" t="s">
        <v>49</v>
      </c>
      <c r="D27" s="26">
        <f>RGPS_Quantidade_Dezembro_Cálc!Q17</f>
        <v>107.456</v>
      </c>
      <c r="E27" s="26">
        <f>RGPS_Quantidade_Dezembro_Cálc!R17</f>
        <v>130.929</v>
      </c>
      <c r="F27" s="26">
        <f>RGPS_Quantidade_Dezembro_Cálc!S17</f>
        <v>149.459</v>
      </c>
      <c r="G27" s="26">
        <f>RGPS_Quantidade_Dezembro_Cálc!T17</f>
        <v>149.398</v>
      </c>
      <c r="H27" s="26">
        <f>RGPS_Quantidade_Dezembro_Cálc!U17</f>
        <v>134.523</v>
      </c>
      <c r="I27" s="26">
        <f>RGPS_Quantidade_Dezembro_Cálc!V17</f>
        <v>126.488</v>
      </c>
      <c r="J27" s="26">
        <f>RGPS_Quantidade_Dezembro_Cálc!W17</f>
        <v>125.967</v>
      </c>
      <c r="K27" s="26">
        <f>RGPS_Quantidade_Dezembro_Cálc!X17</f>
        <v>128.11500000000001</v>
      </c>
      <c r="L27" s="26">
        <f>RGPS_Quantidade_Dezembro_Cálc!Y17</f>
        <v>147.40600000000001</v>
      </c>
      <c r="M27" s="26">
        <f>RGPS_Quantidade_Dezembro_Cálc!Z17</f>
        <v>153.19800000000001</v>
      </c>
      <c r="N27" s="26">
        <f>RGPS_Quantidade_Dezembro_Cálc!AA17</f>
        <v>166.44399999999999</v>
      </c>
      <c r="O27" s="26">
        <f>RGPS_Quantidade_Dezembro_Cálc!AB17</f>
        <v>186.38499999999999</v>
      </c>
      <c r="P27" s="26">
        <f>RGPS_Quantidade_Dezembro_Cálc!AC17</f>
        <v>200.42400000000001</v>
      </c>
    </row>
    <row r="28" spans="2:17" s="18" customFormat="1" ht="16.5" customHeight="1">
      <c r="B28" s="21"/>
      <c r="C28" s="51" t="s">
        <v>99</v>
      </c>
      <c r="D28" s="19">
        <f>RGPS_Quantidade_Dezembro_Cálc!Q17/RGPS_Quantidade_Dezembro_Cálc!Q16</f>
        <v>0.87542669067268453</v>
      </c>
      <c r="E28" s="19">
        <f>RGPS_Quantidade_Dezembro_Cálc!R17/RGPS_Quantidade_Dezembro_Cálc!R16</f>
        <v>0.90873062694771611</v>
      </c>
      <c r="F28" s="19">
        <f>RGPS_Quantidade_Dezembro_Cálc!S17/RGPS_Quantidade_Dezembro_Cálc!S16</f>
        <v>0.92856477195772791</v>
      </c>
      <c r="G28" s="19">
        <f>RGPS_Quantidade_Dezembro_Cálc!T17/RGPS_Quantidade_Dezembro_Cálc!T16</f>
        <v>0.95329798298844404</v>
      </c>
      <c r="H28" s="19">
        <f>RGPS_Quantidade_Dezembro_Cálc!U17/RGPS_Quantidade_Dezembro_Cálc!U16</f>
        <v>0.97378117195700165</v>
      </c>
      <c r="I28" s="19">
        <f>RGPS_Quantidade_Dezembro_Cálc!V17/RGPS_Quantidade_Dezembro_Cálc!V16</f>
        <v>0.9838064867387416</v>
      </c>
      <c r="J28" s="19">
        <f>RGPS_Quantidade_Dezembro_Cálc!W17/RGPS_Quantidade_Dezembro_Cálc!W16</f>
        <v>0.99107796162107298</v>
      </c>
      <c r="K28" s="19">
        <f>RGPS_Quantidade_Dezembro_Cálc!X17/RGPS_Quantidade_Dezembro_Cálc!X16</f>
        <v>0.99407967224817284</v>
      </c>
      <c r="L28" s="19">
        <f>RGPS_Quantidade_Dezembro_Cálc!Y17/RGPS_Quantidade_Dezembro_Cálc!Y16</f>
        <v>0.99562321855539193</v>
      </c>
      <c r="M28" s="19">
        <f>RGPS_Quantidade_Dezembro_Cálc!Z17/RGPS_Quantidade_Dezembro_Cálc!Z16</f>
        <v>0.99622185083789083</v>
      </c>
      <c r="N28" s="19">
        <f>RGPS_Quantidade_Dezembro_Cálc!AA17/RGPS_Quantidade_Dezembro_Cálc!AA16</f>
        <v>0.99715430837711694</v>
      </c>
      <c r="O28" s="19">
        <f>RGPS_Quantidade_Dezembro_Cálc!AB17/RGPS_Quantidade_Dezembro_Cálc!AB16</f>
        <v>0.99754874413277461</v>
      </c>
      <c r="P28" s="19">
        <f>RGPS_Quantidade_Dezembro_Cálc!AC17/RGPS_Quantidade_Dezembro_Cálc!AC16</f>
        <v>0.99791379336098351</v>
      </c>
      <c r="Q28" s="15"/>
    </row>
    <row r="29" spans="2:17" ht="16.5" customHeight="1">
      <c r="B29" s="16"/>
      <c r="C29" s="50" t="s">
        <v>50</v>
      </c>
      <c r="D29" s="26">
        <f>RGPS_Quantidade_Dezembro_Cálc!Q20</f>
        <v>6.4359999999999999</v>
      </c>
      <c r="E29" s="26">
        <f>RGPS_Quantidade_Dezembro_Cálc!R20</f>
        <v>7.1890000000000001</v>
      </c>
      <c r="F29" s="26">
        <f>RGPS_Quantidade_Dezembro_Cálc!S20</f>
        <v>8.0259999999999998</v>
      </c>
      <c r="G29" s="26">
        <f>RGPS_Quantidade_Dezembro_Cálc!T20</f>
        <v>9.0909999999999993</v>
      </c>
      <c r="H29" s="26">
        <f>RGPS_Quantidade_Dezembro_Cálc!U20</f>
        <v>10.802</v>
      </c>
      <c r="I29" s="26">
        <f>RGPS_Quantidade_Dezembro_Cálc!V20</f>
        <v>11.897</v>
      </c>
      <c r="J29" s="26">
        <f>RGPS_Quantidade_Dezembro_Cálc!W20</f>
        <v>13.061</v>
      </c>
      <c r="K29" s="26">
        <f>RGPS_Quantidade_Dezembro_Cálc!X20</f>
        <v>14.28</v>
      </c>
      <c r="L29" s="26">
        <f>RGPS_Quantidade_Dezembro_Cálc!Y20</f>
        <v>15.452999999999999</v>
      </c>
      <c r="M29" s="26">
        <f>RGPS_Quantidade_Dezembro_Cálc!Z20</f>
        <v>16.744</v>
      </c>
      <c r="N29" s="26">
        <f>RGPS_Quantidade_Dezembro_Cálc!AA20</f>
        <v>17.904</v>
      </c>
      <c r="O29" s="26">
        <f>RGPS_Quantidade_Dezembro_Cálc!AB20</f>
        <v>19.228999999999999</v>
      </c>
      <c r="P29" s="26">
        <f>RGPS_Quantidade_Dezembro_Cálc!AC20</f>
        <v>20.356000000000002</v>
      </c>
    </row>
    <row r="30" spans="2:17" s="18" customFormat="1" ht="16.5" customHeight="1">
      <c r="B30" s="21"/>
      <c r="C30" s="51" t="s">
        <v>99</v>
      </c>
      <c r="D30" s="19">
        <f>RGPS_Quantidade_Dezembro_Cálc!Q20/RGPS_Quantidade_Dezembro_Cálc!Q19</f>
        <v>0.94772493005448377</v>
      </c>
      <c r="E30" s="19">
        <f>RGPS_Quantidade_Dezembro_Cálc!R20/RGPS_Quantidade_Dezembro_Cálc!R19</f>
        <v>0.94966974900924706</v>
      </c>
      <c r="F30" s="19">
        <f>RGPS_Quantidade_Dezembro_Cálc!S20/RGPS_Quantidade_Dezembro_Cálc!S19</f>
        <v>0.95479419462288828</v>
      </c>
      <c r="G30" s="19">
        <f>RGPS_Quantidade_Dezembro_Cálc!T20/RGPS_Quantidade_Dezembro_Cálc!T19</f>
        <v>0.96466468590831911</v>
      </c>
      <c r="H30" s="19">
        <f>RGPS_Quantidade_Dezembro_Cálc!U20/RGPS_Quantidade_Dezembro_Cálc!U19</f>
        <v>0.97773352643012301</v>
      </c>
      <c r="I30" s="19">
        <f>RGPS_Quantidade_Dezembro_Cálc!V20/RGPS_Quantidade_Dezembro_Cálc!V19</f>
        <v>0.98297942658844917</v>
      </c>
      <c r="J30" s="19">
        <f>RGPS_Quantidade_Dezembro_Cálc!W20/RGPS_Quantidade_Dezembro_Cálc!W19</f>
        <v>0.98618242222893382</v>
      </c>
      <c r="K30" s="19">
        <f>RGPS_Quantidade_Dezembro_Cálc!X20/RGPS_Quantidade_Dezembro_Cálc!X19</f>
        <v>0.9894678492239467</v>
      </c>
      <c r="L30" s="19">
        <f>RGPS_Quantidade_Dezembro_Cálc!Y20/RGPS_Quantidade_Dezembro_Cálc!Y19</f>
        <v>0.99083098230315458</v>
      </c>
      <c r="M30" s="19">
        <f>RGPS_Quantidade_Dezembro_Cálc!Z20/RGPS_Quantidade_Dezembro_Cálc!Z19</f>
        <v>0.99164939295232446</v>
      </c>
      <c r="N30" s="19">
        <f>RGPS_Quantidade_Dezembro_Cálc!AA20/RGPS_Quantidade_Dezembro_Cálc!AA19</f>
        <v>0.9931769013146946</v>
      </c>
      <c r="O30" s="19">
        <f>RGPS_Quantidade_Dezembro_Cálc!AB20/RGPS_Quantidade_Dezembro_Cálc!AB19</f>
        <v>0.99384949348769902</v>
      </c>
      <c r="P30" s="19">
        <f>RGPS_Quantidade_Dezembro_Cálc!AC20/RGPS_Quantidade_Dezembro_Cálc!AC19</f>
        <v>0.99438229690782087</v>
      </c>
      <c r="Q30" s="15"/>
    </row>
    <row r="31" spans="2:17" ht="16.5" customHeight="1">
      <c r="B31" s="16"/>
      <c r="C31" s="50" t="s">
        <v>25</v>
      </c>
      <c r="D31" s="26">
        <f>RGPS_Quantidade_Dezembro_Cálc!Q23</f>
        <v>25.465</v>
      </c>
      <c r="E31" s="26">
        <f>RGPS_Quantidade_Dezembro_Cálc!R23</f>
        <v>21.765000000000001</v>
      </c>
      <c r="F31" s="26">
        <f>RGPS_Quantidade_Dezembro_Cálc!S23</f>
        <v>21.175000000000001</v>
      </c>
      <c r="G31" s="26">
        <f>RGPS_Quantidade_Dezembro_Cálc!T23</f>
        <v>18.04</v>
      </c>
      <c r="H31" s="26">
        <f>RGPS_Quantidade_Dezembro_Cálc!U23</f>
        <v>17.306000000000001</v>
      </c>
      <c r="I31" s="26">
        <f>RGPS_Quantidade_Dezembro_Cálc!V23</f>
        <v>16.097000000000001</v>
      </c>
      <c r="J31" s="26">
        <f>RGPS_Quantidade_Dezembro_Cálc!W23</f>
        <v>18.606000000000002</v>
      </c>
      <c r="K31" s="26">
        <f>RGPS_Quantidade_Dezembro_Cálc!X23</f>
        <v>20.494</v>
      </c>
      <c r="L31" s="26">
        <f>RGPS_Quantidade_Dezembro_Cálc!Y23</f>
        <v>19.369</v>
      </c>
      <c r="M31" s="26">
        <f>RGPS_Quantidade_Dezembro_Cálc!Z23</f>
        <v>17.056999999999999</v>
      </c>
      <c r="N31" s="26">
        <f>RGPS_Quantidade_Dezembro_Cálc!AA23</f>
        <v>17.050999999999998</v>
      </c>
      <c r="O31" s="26">
        <f>RGPS_Quantidade_Dezembro_Cálc!AB23</f>
        <v>18.286999999999999</v>
      </c>
      <c r="P31" s="26">
        <f>RGPS_Quantidade_Dezembro_Cálc!AC23</f>
        <v>15.969999999999818</v>
      </c>
    </row>
    <row r="32" spans="2:17" s="18" customFormat="1" ht="16.5" customHeight="1">
      <c r="B32" s="21"/>
      <c r="C32" s="51" t="s">
        <v>99</v>
      </c>
      <c r="D32" s="19">
        <f>RGPS_Quantidade_Dezembro_Cálc!Q23/RGPS_Quantidade_Dezembro_Cálc!Q22</f>
        <v>0.97507275233573287</v>
      </c>
      <c r="E32" s="19">
        <f>RGPS_Quantidade_Dezembro_Cálc!R23/RGPS_Quantidade_Dezembro_Cálc!R22</f>
        <v>0.98235241018234343</v>
      </c>
      <c r="F32" s="19">
        <f>RGPS_Quantidade_Dezembro_Cálc!S23/RGPS_Quantidade_Dezembro_Cálc!S22</f>
        <v>0.98064187468160979</v>
      </c>
      <c r="G32" s="19">
        <f>RGPS_Quantidade_Dezembro_Cálc!T23/RGPS_Quantidade_Dezembro_Cálc!T22</f>
        <v>0.97640181857544928</v>
      </c>
      <c r="H32" s="19">
        <f>RGPS_Quantidade_Dezembro_Cálc!U23/RGPS_Quantidade_Dezembro_Cálc!U22</f>
        <v>0.97995469988674977</v>
      </c>
      <c r="I32" s="19">
        <f>RGPS_Quantidade_Dezembro_Cálc!V23/RGPS_Quantidade_Dezembro_Cálc!V22</f>
        <v>0.97770894071914494</v>
      </c>
      <c r="J32" s="19">
        <f>RGPS_Quantidade_Dezembro_Cálc!W23/RGPS_Quantidade_Dezembro_Cálc!W22</f>
        <v>0.98231349981521576</v>
      </c>
      <c r="K32" s="19">
        <f>RGPS_Quantidade_Dezembro_Cálc!X23/RGPS_Quantidade_Dezembro_Cálc!X22</f>
        <v>0.98372773964383442</v>
      </c>
      <c r="L32" s="19">
        <f>RGPS_Quantidade_Dezembro_Cálc!Y23/RGPS_Quantidade_Dezembro_Cálc!Y22</f>
        <v>0.98155374246186589</v>
      </c>
      <c r="M32" s="19">
        <f>RGPS_Quantidade_Dezembro_Cálc!Z23/RGPS_Quantidade_Dezembro_Cálc!Z22</f>
        <v>0.98006205470006891</v>
      </c>
      <c r="N32" s="19">
        <f>RGPS_Quantidade_Dezembro_Cálc!AA23/RGPS_Quantidade_Dezembro_Cálc!AA22</f>
        <v>0.98475310424487417</v>
      </c>
      <c r="O32" s="19">
        <f>RGPS_Quantidade_Dezembro_Cálc!AB23/RGPS_Quantidade_Dezembro_Cálc!AB22</f>
        <v>0.98752565071822007</v>
      </c>
      <c r="P32" s="19">
        <f>RGPS_Quantidade_Dezembro_Cálc!AC23/RGPS_Quantidade_Dezembro_Cálc!AC22</f>
        <v>0.99143282840817137</v>
      </c>
      <c r="Q32" s="15"/>
    </row>
    <row r="33" spans="2:17" ht="16.5" customHeight="1">
      <c r="B33" s="16"/>
      <c r="C33" s="27" t="s">
        <v>3</v>
      </c>
      <c r="D33" s="28">
        <f>RGPS_Quantidade_Dezembro_Cálc!Q26</f>
        <v>6484.4049999999997</v>
      </c>
      <c r="E33" s="28">
        <f>RGPS_Quantidade_Dezembro_Cálc!R26</f>
        <v>6663.5929999999998</v>
      </c>
      <c r="F33" s="28">
        <f>RGPS_Quantidade_Dezembro_Cálc!S26</f>
        <v>6853.5889999999999</v>
      </c>
      <c r="G33" s="28">
        <f>RGPS_Quantidade_Dezembro_Cálc!T26</f>
        <v>7048.3280000000004</v>
      </c>
      <c r="H33" s="28">
        <f>RGPS_Quantidade_Dezembro_Cálc!U26</f>
        <v>7235.3559999999998</v>
      </c>
      <c r="I33" s="28">
        <f>RGPS_Quantidade_Dezembro_Cálc!V26</f>
        <v>7432.2389999999996</v>
      </c>
      <c r="J33" s="28">
        <f>RGPS_Quantidade_Dezembro_Cálc!W26</f>
        <v>7675.8559999999998</v>
      </c>
      <c r="K33" s="28">
        <f>RGPS_Quantidade_Dezembro_Cálc!X26</f>
        <v>7936.7139999999999</v>
      </c>
      <c r="L33" s="28">
        <f>RGPS_Quantidade_Dezembro_Cálc!Y26</f>
        <v>8185.6369999999997</v>
      </c>
      <c r="M33" s="28">
        <f>RGPS_Quantidade_Dezembro_Cálc!Z26</f>
        <v>8398.607</v>
      </c>
      <c r="N33" s="28">
        <f>RGPS_Quantidade_Dezembro_Cálc!AA26</f>
        <v>8644.4670000000006</v>
      </c>
      <c r="O33" s="28">
        <f>RGPS_Quantidade_Dezembro_Cálc!AB26</f>
        <v>8897.4449999999997</v>
      </c>
      <c r="P33" s="28">
        <f>RGPS_Quantidade_Dezembro_Cálc!AC26</f>
        <v>9110.0190000000002</v>
      </c>
    </row>
    <row r="34" spans="2:17" s="18" customFormat="1" ht="16.5" customHeight="1">
      <c r="B34" s="21"/>
      <c r="C34" s="47" t="s">
        <v>99</v>
      </c>
      <c r="D34" s="23">
        <f>RGPS_Quantidade_Dezembro_Cálc!Q26/RGPS_Quantidade_Dezembro_Cálc!Q25</f>
        <v>0.98614135158320992</v>
      </c>
      <c r="E34" s="23">
        <f>RGPS_Quantidade_Dezembro_Cálc!R26/RGPS_Quantidade_Dezembro_Cálc!R25</f>
        <v>0.98564689764813307</v>
      </c>
      <c r="F34" s="23">
        <f>RGPS_Quantidade_Dezembro_Cálc!S26/RGPS_Quantidade_Dezembro_Cálc!S25</f>
        <v>0.98644840294875658</v>
      </c>
      <c r="G34" s="23">
        <f>RGPS_Quantidade_Dezembro_Cálc!T26/RGPS_Quantidade_Dezembro_Cálc!T25</f>
        <v>0.98844202113523905</v>
      </c>
      <c r="H34" s="23">
        <f>RGPS_Quantidade_Dezembro_Cálc!U26/RGPS_Quantidade_Dezembro_Cálc!U25</f>
        <v>0.99042286990850503</v>
      </c>
      <c r="I34" s="23">
        <f>RGPS_Quantidade_Dezembro_Cálc!V26/RGPS_Quantidade_Dezembro_Cálc!V25</f>
        <v>0.99133371178512752</v>
      </c>
      <c r="J34" s="23">
        <f>RGPS_Quantidade_Dezembro_Cálc!W26/RGPS_Quantidade_Dezembro_Cálc!W25</f>
        <v>0.99190027674485193</v>
      </c>
      <c r="K34" s="23">
        <f>RGPS_Quantidade_Dezembro_Cálc!X26/RGPS_Quantidade_Dezembro_Cálc!X25</f>
        <v>0.99259572196713375</v>
      </c>
      <c r="L34" s="23">
        <f>RGPS_Quantidade_Dezembro_Cálc!Y26/RGPS_Quantidade_Dezembro_Cálc!Y25</f>
        <v>0.99265636971431914</v>
      </c>
      <c r="M34" s="23">
        <f>RGPS_Quantidade_Dezembro_Cálc!Z26/RGPS_Quantidade_Dezembro_Cálc!Z25</f>
        <v>0.99265983587665818</v>
      </c>
      <c r="N34" s="23">
        <f>RGPS_Quantidade_Dezembro_Cálc!AA26/RGPS_Quantidade_Dezembro_Cálc!AA25</f>
        <v>0.99356858856172858</v>
      </c>
      <c r="O34" s="23">
        <f>RGPS_Quantidade_Dezembro_Cálc!AB26/RGPS_Quantidade_Dezembro_Cálc!AB25</f>
        <v>0.99369015415889961</v>
      </c>
      <c r="P34" s="23">
        <f>RGPS_Quantidade_Dezembro_Cálc!AC26/RGPS_Quantidade_Dezembro_Cálc!AC25</f>
        <v>0.9936976141926338</v>
      </c>
      <c r="Q34" s="15"/>
    </row>
    <row r="35" spans="2:17" s="18" customFormat="1" ht="16.5" customHeight="1">
      <c r="C35" s="18" t="s">
        <v>98</v>
      </c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</row>
    <row r="36" spans="2:17" s="18" customFormat="1" ht="16.5" customHeight="1">
      <c r="B36" s="21"/>
      <c r="C36" s="22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</row>
    <row r="37" spans="2:17" s="37" customFormat="1" ht="24.75" customHeight="1">
      <c r="C37" s="38" t="s">
        <v>279</v>
      </c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</row>
    <row r="38" spans="2:17" s="34" customFormat="1" ht="35.25" customHeight="1">
      <c r="C38" s="32"/>
      <c r="D38" s="33">
        <v>2002</v>
      </c>
      <c r="E38" s="33">
        <v>2003</v>
      </c>
      <c r="F38" s="33">
        <v>2004</v>
      </c>
      <c r="G38" s="33">
        <v>2005</v>
      </c>
      <c r="H38" s="33">
        <v>2006</v>
      </c>
      <c r="I38" s="33">
        <v>2007</v>
      </c>
      <c r="J38" s="33">
        <v>2008</v>
      </c>
      <c r="K38" s="33">
        <v>2009</v>
      </c>
      <c r="L38" s="33">
        <v>2010</v>
      </c>
      <c r="M38" s="33">
        <v>2011</v>
      </c>
      <c r="N38" s="33">
        <v>2012</v>
      </c>
      <c r="O38" s="33">
        <v>2013</v>
      </c>
      <c r="P38" s="33">
        <v>2014</v>
      </c>
      <c r="Q38" s="18"/>
    </row>
    <row r="39" spans="2:17" ht="16.5" customHeight="1">
      <c r="B39" s="16"/>
      <c r="C39" s="48" t="s">
        <v>53</v>
      </c>
      <c r="D39" s="25">
        <f>RGPS_Quantidade_Dezembro_Cálc!D5</f>
        <v>362.39</v>
      </c>
      <c r="E39" s="25">
        <f>RGPS_Quantidade_Dezembro_Cálc!E5</f>
        <v>368.89</v>
      </c>
      <c r="F39" s="25">
        <f>RGPS_Quantidade_Dezembro_Cálc!F5</f>
        <v>393.75900000000001</v>
      </c>
      <c r="G39" s="25">
        <f>RGPS_Quantidade_Dezembro_Cálc!G5</f>
        <v>446.77300000000002</v>
      </c>
      <c r="H39" s="25">
        <f>RGPS_Quantidade_Dezembro_Cálc!H5</f>
        <v>526.18499999999995</v>
      </c>
      <c r="I39" s="25">
        <f>RGPS_Quantidade_Dezembro_Cálc!I5</f>
        <v>585.50699999999995</v>
      </c>
      <c r="J39" s="25">
        <f>RGPS_Quantidade_Dezembro_Cálc!J5</f>
        <v>654.82600000000002</v>
      </c>
      <c r="K39" s="25">
        <f>RGPS_Quantidade_Dezembro_Cálc!K5</f>
        <v>751.726</v>
      </c>
      <c r="L39" s="25">
        <f>RGPS_Quantidade_Dezembro_Cálc!L5</f>
        <v>808.25900000000001</v>
      </c>
      <c r="M39" s="25">
        <f>RGPS_Quantidade_Dezembro_Cálc!M5</f>
        <v>851.23400000000004</v>
      </c>
      <c r="N39" s="25">
        <f>RGPS_Quantidade_Dezembro_Cálc!N5</f>
        <v>976.57</v>
      </c>
      <c r="O39" s="25">
        <f>RGPS_Quantidade_Dezembro_Cálc!O5</f>
        <v>1053.3510000000001</v>
      </c>
      <c r="P39" s="25">
        <f>RGPS_Quantidade_Dezembro_Cálc!P5</f>
        <v>1107.8910000000001</v>
      </c>
      <c r="Q39" s="18"/>
    </row>
    <row r="40" spans="2:17" s="18" customFormat="1" ht="16.5" customHeight="1">
      <c r="B40" s="21"/>
      <c r="C40" s="51" t="s">
        <v>99</v>
      </c>
      <c r="D40" s="19">
        <f>RGPS_Quantidade_Dezembro_Cálc!D5/RGPS_Quantidade_Dezembro_Cálc!D4</f>
        <v>0.1037467821578094</v>
      </c>
      <c r="E40" s="19">
        <f>RGPS_Quantidade_Dezembro_Cálc!E5/RGPS_Quantidade_Dezembro_Cálc!E4</f>
        <v>0.10395434564333815</v>
      </c>
      <c r="F40" s="19">
        <f>RGPS_Quantidade_Dezembro_Cálc!F5/RGPS_Quantidade_Dezembro_Cálc!F4</f>
        <v>0.10771394783727646</v>
      </c>
      <c r="G40" s="19">
        <f>RGPS_Quantidade_Dezembro_Cálc!G5/RGPS_Quantidade_Dezembro_Cálc!G4</f>
        <v>0.12093396546893842</v>
      </c>
      <c r="H40" s="19">
        <f>RGPS_Quantidade_Dezembro_Cálc!H5/RGPS_Quantidade_Dezembro_Cálc!H4</f>
        <v>0.13915846136391344</v>
      </c>
      <c r="I40" s="19">
        <f>RGPS_Quantidade_Dezembro_Cálc!I5/RGPS_Quantidade_Dezembro_Cálc!I4</f>
        <v>0.14890993129624608</v>
      </c>
      <c r="J40" s="19">
        <f>RGPS_Quantidade_Dezembro_Cálc!J5/RGPS_Quantidade_Dezembro_Cálc!J4</f>
        <v>0.15950633919961105</v>
      </c>
      <c r="K40" s="19">
        <f>RGPS_Quantidade_Dezembro_Cálc!K5/RGPS_Quantidade_Dezembro_Cálc!K4</f>
        <v>0.17471642972572771</v>
      </c>
      <c r="L40" s="19">
        <f>RGPS_Quantidade_Dezembro_Cálc!L5/RGPS_Quantidade_Dezembro_Cálc!L4</f>
        <v>0.18076365166913497</v>
      </c>
      <c r="M40" s="19">
        <f>RGPS_Quantidade_Dezembro_Cálc!M5/RGPS_Quantidade_Dezembro_Cálc!M4</f>
        <v>0.18281378522385849</v>
      </c>
      <c r="N40" s="19">
        <f>RGPS_Quantidade_Dezembro_Cálc!N5/RGPS_Quantidade_Dezembro_Cálc!N4</f>
        <v>0.20156493166066042</v>
      </c>
      <c r="O40" s="19">
        <f>RGPS_Quantidade_Dezembro_Cálc!O5/RGPS_Quantidade_Dezembro_Cálc!O4</f>
        <v>0.20874982684294105</v>
      </c>
      <c r="P40" s="19">
        <f>RGPS_Quantidade_Dezembro_Cálc!P5/RGPS_Quantidade_Dezembro_Cálc!P4</f>
        <v>0.21161543019269979</v>
      </c>
    </row>
    <row r="41" spans="2:17" ht="16.5" customHeight="1">
      <c r="B41" s="16"/>
      <c r="C41" s="48" t="s">
        <v>48</v>
      </c>
      <c r="D41" s="25">
        <f>RGPS_Quantidade_Dezembro_Cálc!D8</f>
        <v>922.39599999999996</v>
      </c>
      <c r="E41" s="25">
        <f>RGPS_Quantidade_Dezembro_Cálc!E8</f>
        <v>977.35799999999995</v>
      </c>
      <c r="F41" s="25">
        <f>RGPS_Quantidade_Dezembro_Cálc!F8</f>
        <v>1104.3340000000001</v>
      </c>
      <c r="G41" s="25">
        <f>RGPS_Quantidade_Dezembro_Cálc!G8</f>
        <v>1213.204</v>
      </c>
      <c r="H41" s="25">
        <f>RGPS_Quantidade_Dezembro_Cálc!H8</f>
        <v>1335.9010000000001</v>
      </c>
      <c r="I41" s="25">
        <f>RGPS_Quantidade_Dezembro_Cálc!I8</f>
        <v>1440.0250000000001</v>
      </c>
      <c r="J41" s="25">
        <f>RGPS_Quantidade_Dezembro_Cálc!J8</f>
        <v>1550.4549999999999</v>
      </c>
      <c r="K41" s="25">
        <f>RGPS_Quantidade_Dezembro_Cálc!K8</f>
        <v>1697.817</v>
      </c>
      <c r="L41" s="25">
        <f>RGPS_Quantidade_Dezembro_Cálc!L8</f>
        <v>1791.25</v>
      </c>
      <c r="M41" s="25">
        <f>RGPS_Quantidade_Dezembro_Cálc!M8</f>
        <v>1877.4079999999999</v>
      </c>
      <c r="N41" s="25">
        <f>RGPS_Quantidade_Dezembro_Cálc!N8</f>
        <v>2059.741</v>
      </c>
      <c r="O41" s="25">
        <f>RGPS_Quantidade_Dezembro_Cálc!O8</f>
        <v>2211.7860000000001</v>
      </c>
      <c r="P41" s="25">
        <f>RGPS_Quantidade_Dezembro_Cálc!P8</f>
        <v>2347.3870000000002</v>
      </c>
      <c r="Q41" s="18"/>
    </row>
    <row r="42" spans="2:17" s="18" customFormat="1" ht="16.5" customHeight="1">
      <c r="B42" s="21"/>
      <c r="C42" s="51" t="s">
        <v>99</v>
      </c>
      <c r="D42" s="19">
        <f>RGPS_Quantidade_Dezembro_Cálc!D8/RGPS_Quantidade_Dezembro_Cálc!D7</f>
        <v>0.55819093068937842</v>
      </c>
      <c r="E42" s="19">
        <f>RGPS_Quantidade_Dezembro_Cálc!E8/RGPS_Quantidade_Dezembro_Cálc!E7</f>
        <v>0.55333102721651883</v>
      </c>
      <c r="F42" s="19">
        <f>RGPS_Quantidade_Dezembro_Cálc!F8/RGPS_Quantidade_Dezembro_Cálc!F7</f>
        <v>0.57269496466078351</v>
      </c>
      <c r="G42" s="19">
        <f>RGPS_Quantidade_Dezembro_Cálc!G8/RGPS_Quantidade_Dezembro_Cálc!G7</f>
        <v>0.59776759274679514</v>
      </c>
      <c r="H42" s="19">
        <f>RGPS_Quantidade_Dezembro_Cálc!H8/RGPS_Quantidade_Dezembro_Cálc!H7</f>
        <v>0.6293855309750358</v>
      </c>
      <c r="I42" s="19">
        <f>RGPS_Quantidade_Dezembro_Cálc!I8/RGPS_Quantidade_Dezembro_Cálc!I7</f>
        <v>0.64444431516002088</v>
      </c>
      <c r="J42" s="19">
        <f>RGPS_Quantidade_Dezembro_Cálc!J8/RGPS_Quantidade_Dezembro_Cálc!J7</f>
        <v>0.65290892950989765</v>
      </c>
      <c r="K42" s="19">
        <f>RGPS_Quantidade_Dezembro_Cálc!K8/RGPS_Quantidade_Dezembro_Cálc!K7</f>
        <v>0.66905643023467976</v>
      </c>
      <c r="L42" s="19">
        <f>RGPS_Quantidade_Dezembro_Cálc!L8/RGPS_Quantidade_Dezembro_Cálc!L7</f>
        <v>0.67167886906714913</v>
      </c>
      <c r="M42" s="19">
        <f>RGPS_Quantidade_Dezembro_Cálc!M8/RGPS_Quantidade_Dezembro_Cálc!M7</f>
        <v>0.66928786064440871</v>
      </c>
      <c r="N42" s="19">
        <f>RGPS_Quantidade_Dezembro_Cálc!N8/RGPS_Quantidade_Dezembro_Cálc!N7</f>
        <v>0.69181018774932235</v>
      </c>
      <c r="O42" s="19">
        <f>RGPS_Quantidade_Dezembro_Cálc!O8/RGPS_Quantidade_Dezembro_Cálc!O7</f>
        <v>0.69707866783319927</v>
      </c>
      <c r="P42" s="19">
        <f>RGPS_Quantidade_Dezembro_Cálc!P8/RGPS_Quantidade_Dezembro_Cálc!P7</f>
        <v>0.69691135395241244</v>
      </c>
    </row>
    <row r="43" spans="2:17" ht="16.5" customHeight="1">
      <c r="B43" s="16"/>
      <c r="C43" s="48" t="s">
        <v>23</v>
      </c>
      <c r="D43" s="25">
        <f>RGPS_Quantidade_Dezembro_Cálc!D11</f>
        <v>1310.8820000000001</v>
      </c>
      <c r="E43" s="25">
        <f>RGPS_Quantidade_Dezembro_Cálc!E11</f>
        <v>1279.4359999999999</v>
      </c>
      <c r="F43" s="25">
        <f>RGPS_Quantidade_Dezembro_Cálc!F11</f>
        <v>1290.836</v>
      </c>
      <c r="G43" s="25">
        <f>RGPS_Quantidade_Dezembro_Cálc!G11</f>
        <v>1371.3820000000001</v>
      </c>
      <c r="H43" s="25">
        <f>RGPS_Quantidade_Dezembro_Cálc!H11</f>
        <v>1436.211</v>
      </c>
      <c r="I43" s="25">
        <f>RGPS_Quantidade_Dezembro_Cálc!I11</f>
        <v>1464.691</v>
      </c>
      <c r="J43" s="25">
        <f>RGPS_Quantidade_Dezembro_Cálc!J11</f>
        <v>1492.9059999999999</v>
      </c>
      <c r="K43" s="25">
        <f>RGPS_Quantidade_Dezembro_Cálc!K11</f>
        <v>1532.5809999999999</v>
      </c>
      <c r="L43" s="25">
        <f>RGPS_Quantidade_Dezembro_Cálc!L11</f>
        <v>1523.9059999999999</v>
      </c>
      <c r="M43" s="25">
        <f>RGPS_Quantidade_Dezembro_Cálc!M11</f>
        <v>1514.9659999999999</v>
      </c>
      <c r="N43" s="25">
        <f>RGPS_Quantidade_Dezembro_Cálc!N11</f>
        <v>1593.4090000000001</v>
      </c>
      <c r="O43" s="25">
        <f>RGPS_Quantidade_Dezembro_Cálc!O11</f>
        <v>1591.547</v>
      </c>
      <c r="P43" s="25">
        <f>RGPS_Quantidade_Dezembro_Cálc!P11</f>
        <v>1597.2149999999999</v>
      </c>
      <c r="Q43" s="18"/>
    </row>
    <row r="44" spans="2:17" s="18" customFormat="1" ht="16.5" customHeight="1">
      <c r="B44" s="21"/>
      <c r="C44" s="51" t="s">
        <v>99</v>
      </c>
      <c r="D44" s="19">
        <f>RGPS_Quantidade_Dezembro_Cálc!D11/RGPS_Quantidade_Dezembro_Cálc!D10</f>
        <v>0.64073892499649299</v>
      </c>
      <c r="E44" s="19">
        <f>RGPS_Quantidade_Dezembro_Cálc!E11/RGPS_Quantidade_Dezembro_Cálc!E10</f>
        <v>0.60432024387513583</v>
      </c>
      <c r="F44" s="19">
        <f>RGPS_Quantidade_Dezembro_Cálc!F11/RGPS_Quantidade_Dezembro_Cálc!F10</f>
        <v>0.58021620406787278</v>
      </c>
      <c r="G44" s="19">
        <f>RGPS_Quantidade_Dezembro_Cálc!G11/RGPS_Quantidade_Dezembro_Cálc!G10</f>
        <v>0.57858628849786253</v>
      </c>
      <c r="H44" s="19">
        <f>RGPS_Quantidade_Dezembro_Cálc!H11/RGPS_Quantidade_Dezembro_Cálc!H10</f>
        <v>0.58876428906703182</v>
      </c>
      <c r="I44" s="19">
        <f>RGPS_Quantidade_Dezembro_Cálc!I11/RGPS_Quantidade_Dezembro_Cálc!I10</f>
        <v>0.59488510203111844</v>
      </c>
      <c r="J44" s="19">
        <f>RGPS_Quantidade_Dezembro_Cálc!J11/RGPS_Quantidade_Dezembro_Cálc!J10</f>
        <v>0.58595058708645298</v>
      </c>
      <c r="K44" s="19">
        <f>RGPS_Quantidade_Dezembro_Cálc!K11/RGPS_Quantidade_Dezembro_Cálc!K10</f>
        <v>0.58484497752520426</v>
      </c>
      <c r="L44" s="19">
        <f>RGPS_Quantidade_Dezembro_Cálc!L11/RGPS_Quantidade_Dezembro_Cálc!L10</f>
        <v>0.56868063179688033</v>
      </c>
      <c r="M44" s="19">
        <f>RGPS_Quantidade_Dezembro_Cálc!M11/RGPS_Quantidade_Dezembro_Cálc!M10</f>
        <v>0.55364137924481616</v>
      </c>
      <c r="N44" s="19">
        <f>RGPS_Quantidade_Dezembro_Cálc!N11/RGPS_Quantidade_Dezembro_Cálc!N10</f>
        <v>0.56983292767446969</v>
      </c>
      <c r="O44" s="19">
        <f>RGPS_Quantidade_Dezembro_Cálc!O11/RGPS_Quantidade_Dezembro_Cálc!O10</f>
        <v>0.55748981118064211</v>
      </c>
      <c r="P44" s="19">
        <f>RGPS_Quantidade_Dezembro_Cálc!P11/RGPS_Quantidade_Dezembro_Cálc!P10</f>
        <v>0.54907736823487308</v>
      </c>
    </row>
    <row r="45" spans="2:17" ht="16.5" customHeight="1">
      <c r="B45" s="16"/>
      <c r="C45" s="48" t="s">
        <v>24</v>
      </c>
      <c r="D45" s="25">
        <f>RGPS_Quantidade_Dezembro_Cálc!D14</f>
        <v>2138.2710000000002</v>
      </c>
      <c r="E45" s="25">
        <f>RGPS_Quantidade_Dezembro_Cálc!E14</f>
        <v>2121.8589999999999</v>
      </c>
      <c r="F45" s="25">
        <f>RGPS_Quantidade_Dezembro_Cálc!F14</f>
        <v>2150.5970000000002</v>
      </c>
      <c r="G45" s="25">
        <f>RGPS_Quantidade_Dezembro_Cálc!G14</f>
        <v>2253.3020000000001</v>
      </c>
      <c r="H45" s="25">
        <f>RGPS_Quantidade_Dezembro_Cálc!H14</f>
        <v>2354.203</v>
      </c>
      <c r="I45" s="25">
        <f>RGPS_Quantidade_Dezembro_Cálc!I14</f>
        <v>2441.46</v>
      </c>
      <c r="J45" s="25">
        <f>RGPS_Quantidade_Dezembro_Cálc!J14</f>
        <v>2503.36</v>
      </c>
      <c r="K45" s="25">
        <f>RGPS_Quantidade_Dezembro_Cálc!K14</f>
        <v>2588.5639999999999</v>
      </c>
      <c r="L45" s="25">
        <f>RGPS_Quantidade_Dezembro_Cálc!L14</f>
        <v>2596.5059999999999</v>
      </c>
      <c r="M45" s="25">
        <f>RGPS_Quantidade_Dezembro_Cálc!M14</f>
        <v>2603.232</v>
      </c>
      <c r="N45" s="25">
        <f>RGPS_Quantidade_Dezembro_Cálc!N14</f>
        <v>2756.8490000000002</v>
      </c>
      <c r="O45" s="25">
        <f>RGPS_Quantidade_Dezembro_Cálc!O14</f>
        <v>2790.395</v>
      </c>
      <c r="P45" s="25">
        <f>RGPS_Quantidade_Dezembro_Cálc!P14</f>
        <v>2811.98</v>
      </c>
      <c r="Q45" s="18"/>
    </row>
    <row r="46" spans="2:17" s="18" customFormat="1" ht="16.5" customHeight="1">
      <c r="B46" s="21"/>
      <c r="C46" s="51" t="s">
        <v>99</v>
      </c>
      <c r="D46" s="19">
        <f>RGPS_Quantidade_Dezembro_Cálc!D14/RGPS_Quantidade_Dezembro_Cálc!D13</f>
        <v>0.56491975880085221</v>
      </c>
      <c r="E46" s="19">
        <f>RGPS_Quantidade_Dezembro_Cálc!E14/RGPS_Quantidade_Dezembro_Cálc!E13</f>
        <v>0.55043722717887877</v>
      </c>
      <c r="F46" s="19">
        <f>RGPS_Quantidade_Dezembro_Cálc!F14/RGPS_Quantidade_Dezembro_Cálc!F13</f>
        <v>0.53733356652966391</v>
      </c>
      <c r="G46" s="19">
        <f>RGPS_Quantidade_Dezembro_Cálc!G14/RGPS_Quantidade_Dezembro_Cálc!G13</f>
        <v>0.5535315888329837</v>
      </c>
      <c r="H46" s="19">
        <f>RGPS_Quantidade_Dezembro_Cálc!H14/RGPS_Quantidade_Dezembro_Cálc!H13</f>
        <v>0.56561546702378573</v>
      </c>
      <c r="I46" s="19">
        <f>RGPS_Quantidade_Dezembro_Cálc!I14/RGPS_Quantidade_Dezembro_Cálc!I13</f>
        <v>0.57069966143152473</v>
      </c>
      <c r="J46" s="19">
        <f>RGPS_Quantidade_Dezembro_Cálc!J14/RGPS_Quantidade_Dezembro_Cálc!J13</f>
        <v>0.56865169424976603</v>
      </c>
      <c r="K46" s="19">
        <f>RGPS_Quantidade_Dezembro_Cálc!K14/RGPS_Quantidade_Dezembro_Cálc!K13</f>
        <v>0.57165370015434369</v>
      </c>
      <c r="L46" s="19">
        <f>RGPS_Quantidade_Dezembro_Cálc!L14/RGPS_Quantidade_Dezembro_Cálc!L13</f>
        <v>0.55858755659544845</v>
      </c>
      <c r="M46" s="19">
        <f>RGPS_Quantidade_Dezembro_Cálc!M14/RGPS_Quantidade_Dezembro_Cálc!M13</f>
        <v>0.54645962247896329</v>
      </c>
      <c r="N46" s="19">
        <f>RGPS_Quantidade_Dezembro_Cálc!N14/RGPS_Quantidade_Dezembro_Cálc!N13</f>
        <v>0.56383933237112038</v>
      </c>
      <c r="O46" s="19">
        <f>RGPS_Quantidade_Dezembro_Cálc!O14/RGPS_Quantidade_Dezembro_Cálc!O13</f>
        <v>0.55610737690591772</v>
      </c>
      <c r="P46" s="19">
        <f>RGPS_Quantidade_Dezembro_Cálc!P14/RGPS_Quantidade_Dezembro_Cálc!P13</f>
        <v>0.54828276305281021</v>
      </c>
    </row>
    <row r="47" spans="2:17" ht="16.5" customHeight="1">
      <c r="B47" s="16"/>
      <c r="C47" s="48" t="s">
        <v>49</v>
      </c>
      <c r="D47" s="25">
        <f>RGPS_Quantidade_Dezembro_Cálc!D17</f>
        <v>178.04</v>
      </c>
      <c r="E47" s="25">
        <f>RGPS_Quantidade_Dezembro_Cálc!E17</f>
        <v>199.58699999999999</v>
      </c>
      <c r="F47" s="25">
        <f>RGPS_Quantidade_Dezembro_Cálc!F17</f>
        <v>288.37700000000001</v>
      </c>
      <c r="G47" s="25">
        <f>RGPS_Quantidade_Dezembro_Cálc!G17</f>
        <v>337.55900000000003</v>
      </c>
      <c r="H47" s="25">
        <f>RGPS_Quantidade_Dezembro_Cálc!H17</f>
        <v>377.726</v>
      </c>
      <c r="I47" s="25">
        <f>RGPS_Quantidade_Dezembro_Cálc!I17</f>
        <v>346.25400000000002</v>
      </c>
      <c r="J47" s="25">
        <f>RGPS_Quantidade_Dezembro_Cálc!J17</f>
        <v>337.72500000000002</v>
      </c>
      <c r="K47" s="25">
        <f>RGPS_Quantidade_Dezembro_Cálc!K17</f>
        <v>346.541</v>
      </c>
      <c r="L47" s="25">
        <f>RGPS_Quantidade_Dezembro_Cálc!L17</f>
        <v>398.67700000000002</v>
      </c>
      <c r="M47" s="25">
        <f>RGPS_Quantidade_Dezembro_Cálc!M17</f>
        <v>403.51400000000001</v>
      </c>
      <c r="N47" s="25">
        <f>RGPS_Quantidade_Dezembro_Cálc!N17</f>
        <v>484.73</v>
      </c>
      <c r="O47" s="25">
        <f>RGPS_Quantidade_Dezembro_Cálc!O17</f>
        <v>530.05200000000002</v>
      </c>
      <c r="P47" s="25">
        <f>RGPS_Quantidade_Dezembro_Cálc!P17</f>
        <v>545.76400000000001</v>
      </c>
      <c r="Q47" s="18"/>
    </row>
    <row r="48" spans="2:17" s="18" customFormat="1" ht="16.5" customHeight="1">
      <c r="B48" s="21"/>
      <c r="C48" s="51" t="s">
        <v>99</v>
      </c>
      <c r="D48" s="19">
        <f>RGPS_Quantidade_Dezembro_Cálc!D17/RGPS_Quantidade_Dezembro_Cálc!D16</f>
        <v>0.21374221756950462</v>
      </c>
      <c r="E48" s="19">
        <f>RGPS_Quantidade_Dezembro_Cálc!E17/RGPS_Quantidade_Dezembro_Cálc!E16</f>
        <v>0.18791857210244298</v>
      </c>
      <c r="F48" s="19">
        <f>RGPS_Quantidade_Dezembro_Cálc!F17/RGPS_Quantidade_Dezembro_Cálc!F16</f>
        <v>0.21306100133358455</v>
      </c>
      <c r="G48" s="19">
        <f>RGPS_Quantidade_Dezembro_Cálc!G17/RGPS_Quantidade_Dezembro_Cálc!G16</f>
        <v>0.23096860539188352</v>
      </c>
      <c r="H48" s="19">
        <f>RGPS_Quantidade_Dezembro_Cálc!H17/RGPS_Quantidade_Dezembro_Cálc!H16</f>
        <v>0.26384718173747163</v>
      </c>
      <c r="I48" s="19">
        <f>RGPS_Quantidade_Dezembro_Cálc!I17/RGPS_Quantidade_Dezembro_Cálc!I16</f>
        <v>0.2762290955825395</v>
      </c>
      <c r="J48" s="19">
        <f>RGPS_Quantidade_Dezembro_Cálc!J17/RGPS_Quantidade_Dezembro_Cálc!J16</f>
        <v>0.28422073151334443</v>
      </c>
      <c r="K48" s="19">
        <f>RGPS_Quantidade_Dezembro_Cálc!K17/RGPS_Quantidade_Dezembro_Cálc!K16</f>
        <v>0.31193690348562875</v>
      </c>
      <c r="L48" s="19">
        <f>RGPS_Quantidade_Dezembro_Cálc!L17/RGPS_Quantidade_Dezembro_Cálc!L16</f>
        <v>0.31527507696492868</v>
      </c>
      <c r="M48" s="19">
        <f>RGPS_Quantidade_Dezembro_Cálc!M17/RGPS_Quantidade_Dezembro_Cálc!M16</f>
        <v>0.31320264400612258</v>
      </c>
      <c r="N48" s="19">
        <f>RGPS_Quantidade_Dezembro_Cálc!N17/RGPS_Quantidade_Dezembro_Cálc!N16</f>
        <v>0.36243310879872115</v>
      </c>
      <c r="O48" s="19">
        <f>RGPS_Quantidade_Dezembro_Cálc!O17/RGPS_Quantidade_Dezembro_Cálc!O16</f>
        <v>0.3648937781388113</v>
      </c>
      <c r="P48" s="19">
        <f>RGPS_Quantidade_Dezembro_Cálc!P17/RGPS_Quantidade_Dezembro_Cálc!P16</f>
        <v>0.36632955591190058</v>
      </c>
    </row>
    <row r="49" spans="2:17" ht="16.5" customHeight="1">
      <c r="B49" s="16"/>
      <c r="C49" s="48" t="s">
        <v>50</v>
      </c>
      <c r="D49" s="25">
        <f>RGPS_Quantidade_Dezembro_Cálc!D20</f>
        <v>172.98699999999999</v>
      </c>
      <c r="E49" s="25">
        <f>RGPS_Quantidade_Dezembro_Cálc!E20</f>
        <v>171.56299999999999</v>
      </c>
      <c r="F49" s="25">
        <f>RGPS_Quantidade_Dezembro_Cálc!F20</f>
        <v>172.58500000000001</v>
      </c>
      <c r="G49" s="25">
        <f>RGPS_Quantidade_Dezembro_Cálc!G20</f>
        <v>178.834</v>
      </c>
      <c r="H49" s="25">
        <f>RGPS_Quantidade_Dezembro_Cálc!H20</f>
        <v>188.12899999999999</v>
      </c>
      <c r="I49" s="25">
        <f>RGPS_Quantidade_Dezembro_Cálc!I20</f>
        <v>191.75700000000001</v>
      </c>
      <c r="J49" s="25">
        <f>RGPS_Quantidade_Dezembro_Cálc!J20</f>
        <v>195.88300000000001</v>
      </c>
      <c r="K49" s="25">
        <f>RGPS_Quantidade_Dezembro_Cálc!K20</f>
        <v>201.53899999999999</v>
      </c>
      <c r="L49" s="25">
        <f>RGPS_Quantidade_Dezembro_Cálc!L20</f>
        <v>206.78800000000001</v>
      </c>
      <c r="M49" s="25">
        <f>RGPS_Quantidade_Dezembro_Cálc!M20</f>
        <v>212.666</v>
      </c>
      <c r="N49" s="25">
        <f>RGPS_Quantidade_Dezembro_Cálc!N20</f>
        <v>227.083</v>
      </c>
      <c r="O49" s="25">
        <f>RGPS_Quantidade_Dezembro_Cálc!O20</f>
        <v>236.87100000000001</v>
      </c>
      <c r="P49" s="25">
        <f>RGPS_Quantidade_Dezembro_Cálc!P20</f>
        <v>246.90199999999999</v>
      </c>
      <c r="Q49" s="18"/>
    </row>
    <row r="50" spans="2:17" s="18" customFormat="1" ht="16.5" customHeight="1">
      <c r="B50" s="21"/>
      <c r="C50" s="51" t="s">
        <v>99</v>
      </c>
      <c r="D50" s="19">
        <f>RGPS_Quantidade_Dezembro_Cálc!D20/RGPS_Quantidade_Dezembro_Cálc!D19</f>
        <v>0.65851894431099667</v>
      </c>
      <c r="E50" s="19">
        <f>RGPS_Quantidade_Dezembro_Cálc!E20/RGPS_Quantidade_Dezembro_Cálc!E19</f>
        <v>0.64659747033904691</v>
      </c>
      <c r="F50" s="19">
        <f>RGPS_Quantidade_Dezembro_Cálc!F20/RGPS_Quantidade_Dezembro_Cálc!F19</f>
        <v>0.64635429735630856</v>
      </c>
      <c r="G50" s="19">
        <f>RGPS_Quantidade_Dezembro_Cálc!G20/RGPS_Quantidade_Dezembro_Cálc!G19</f>
        <v>0.66339975961895148</v>
      </c>
      <c r="H50" s="19">
        <f>RGPS_Quantidade_Dezembro_Cálc!H20/RGPS_Quantidade_Dezembro_Cálc!H19</f>
        <v>0.68908692658198167</v>
      </c>
      <c r="I50" s="19">
        <f>RGPS_Quantidade_Dezembro_Cálc!I20/RGPS_Quantidade_Dezembro_Cálc!I19</f>
        <v>0.69369851714919306</v>
      </c>
      <c r="J50" s="19">
        <f>RGPS_Quantidade_Dezembro_Cálc!J20/RGPS_Quantidade_Dezembro_Cálc!J19</f>
        <v>0.69665123160417963</v>
      </c>
      <c r="K50" s="19">
        <f>RGPS_Quantidade_Dezembro_Cálc!K20/RGPS_Quantidade_Dezembro_Cálc!K19</f>
        <v>0.70337344519983802</v>
      </c>
      <c r="L50" s="19">
        <f>RGPS_Quantidade_Dezembro_Cálc!L20/RGPS_Quantidade_Dezembro_Cálc!L19</f>
        <v>0.70130909584209455</v>
      </c>
      <c r="M50" s="19">
        <f>RGPS_Quantidade_Dezembro_Cálc!M20/RGPS_Quantidade_Dezembro_Cálc!M19</f>
        <v>0.69424957153350197</v>
      </c>
      <c r="N50" s="19">
        <f>RGPS_Quantidade_Dezembro_Cálc!N20/RGPS_Quantidade_Dezembro_Cálc!N19</f>
        <v>0.71434907892087784</v>
      </c>
      <c r="O50" s="19">
        <f>RGPS_Quantidade_Dezembro_Cálc!O20/RGPS_Quantidade_Dezembro_Cálc!O19</f>
        <v>0.71202351859032742</v>
      </c>
      <c r="P50" s="19">
        <f>RGPS_Quantidade_Dezembro_Cálc!P20/RGPS_Quantidade_Dezembro_Cálc!P19</f>
        <v>0.71064841465380268</v>
      </c>
    </row>
    <row r="51" spans="2:17" ht="16.5" customHeight="1">
      <c r="B51" s="16"/>
      <c r="C51" s="48" t="s">
        <v>25</v>
      </c>
      <c r="D51" s="25">
        <f>RGPS_Quantidade_Dezembro_Cálc!D23</f>
        <v>118.42400000000001</v>
      </c>
      <c r="E51" s="25">
        <f>RGPS_Quantidade_Dezembro_Cálc!E23</f>
        <v>112.651</v>
      </c>
      <c r="F51" s="25">
        <f>RGPS_Quantidade_Dezembro_Cálc!F23</f>
        <v>112.163</v>
      </c>
      <c r="G51" s="25">
        <f>RGPS_Quantidade_Dezembro_Cálc!G23</f>
        <v>108.73699999999999</v>
      </c>
      <c r="H51" s="25">
        <f>RGPS_Quantidade_Dezembro_Cálc!H23</f>
        <v>108.476</v>
      </c>
      <c r="I51" s="25">
        <f>RGPS_Quantidade_Dezembro_Cálc!I23</f>
        <v>108.093</v>
      </c>
      <c r="J51" s="25">
        <f>RGPS_Quantidade_Dezembro_Cálc!J23</f>
        <v>109.81100000000001</v>
      </c>
      <c r="K51" s="25">
        <f>RGPS_Quantidade_Dezembro_Cálc!K23</f>
        <v>118.473</v>
      </c>
      <c r="L51" s="25">
        <f>RGPS_Quantidade_Dezembro_Cálc!L23</f>
        <v>118.29900000000001</v>
      </c>
      <c r="M51" s="25">
        <f>RGPS_Quantidade_Dezembro_Cálc!M23</f>
        <v>112.675</v>
      </c>
      <c r="N51" s="25">
        <f>RGPS_Quantidade_Dezembro_Cálc!N23</f>
        <v>125.839</v>
      </c>
      <c r="O51" s="25">
        <f>RGPS_Quantidade_Dezembro_Cálc!O23</f>
        <v>140.97200000000001</v>
      </c>
      <c r="P51" s="25">
        <f>RGPS_Quantidade_Dezembro_Cálc!P23</f>
        <v>128.68299999999908</v>
      </c>
      <c r="Q51" s="18"/>
    </row>
    <row r="52" spans="2:17" s="18" customFormat="1" ht="16.5" customHeight="1">
      <c r="B52" s="21"/>
      <c r="C52" s="51" t="s">
        <v>99</v>
      </c>
      <c r="D52" s="19">
        <f>RGPS_Quantidade_Dezembro_Cálc!D23/RGPS_Quantidade_Dezembro_Cálc!D22</f>
        <v>0.52633122813879174</v>
      </c>
      <c r="E52" s="19">
        <f>RGPS_Quantidade_Dezembro_Cálc!E23/RGPS_Quantidade_Dezembro_Cálc!E22</f>
        <v>0.76995789703912298</v>
      </c>
      <c r="F52" s="19">
        <f>RGPS_Quantidade_Dezembro_Cálc!F23/RGPS_Quantidade_Dezembro_Cálc!F22</f>
        <v>0.81278714184263545</v>
      </c>
      <c r="G52" s="19">
        <f>RGPS_Quantidade_Dezembro_Cálc!G23/RGPS_Quantidade_Dezembro_Cálc!G22</f>
        <v>0.82745736658270608</v>
      </c>
      <c r="H52" s="19">
        <f>RGPS_Quantidade_Dezembro_Cálc!H23/RGPS_Quantidade_Dezembro_Cálc!H22</f>
        <v>0.83674146296310581</v>
      </c>
      <c r="I52" s="19">
        <f>RGPS_Quantidade_Dezembro_Cálc!I23/RGPS_Quantidade_Dezembro_Cálc!I22</f>
        <v>0.81584548501041576</v>
      </c>
      <c r="J52" s="19">
        <f>RGPS_Quantidade_Dezembro_Cálc!J23/RGPS_Quantidade_Dezembro_Cálc!J22</f>
        <v>0.79506356975296122</v>
      </c>
      <c r="K52" s="19">
        <f>RGPS_Quantidade_Dezembro_Cálc!K23/RGPS_Quantidade_Dezembro_Cálc!K22</f>
        <v>0.77818867329646224</v>
      </c>
      <c r="L52" s="19">
        <f>RGPS_Quantidade_Dezembro_Cálc!L23/RGPS_Quantidade_Dezembro_Cálc!L22</f>
        <v>0.76300276050669491</v>
      </c>
      <c r="M52" s="19">
        <f>RGPS_Quantidade_Dezembro_Cálc!M23/RGPS_Quantidade_Dezembro_Cálc!M22</f>
        <v>0.70693160001505784</v>
      </c>
      <c r="N52" s="19">
        <f>RGPS_Quantidade_Dezembro_Cálc!N23/RGPS_Quantidade_Dezembro_Cálc!N22</f>
        <v>0.74393596329949807</v>
      </c>
      <c r="O52" s="19">
        <f>RGPS_Quantidade_Dezembro_Cálc!O23/RGPS_Quantidade_Dezembro_Cálc!O22</f>
        <v>0.79077803332024454</v>
      </c>
      <c r="P52" s="19">
        <f>RGPS_Quantidade_Dezembro_Cálc!P23/RGPS_Quantidade_Dezembro_Cálc!P22</f>
        <v>0.74536186973268914</v>
      </c>
    </row>
    <row r="53" spans="2:17" ht="16.5" customHeight="1">
      <c r="B53" s="16"/>
      <c r="C53" s="30" t="s">
        <v>3</v>
      </c>
      <c r="D53" s="31">
        <f>RGPS_Quantidade_Dezembro_Cálc!D26</f>
        <v>5203.3900000000003</v>
      </c>
      <c r="E53" s="31">
        <f>RGPS_Quantidade_Dezembro_Cálc!E26</f>
        <v>5231.3440000000001</v>
      </c>
      <c r="F53" s="31">
        <f>RGPS_Quantidade_Dezembro_Cálc!F26</f>
        <v>5512.6509999999998</v>
      </c>
      <c r="G53" s="31">
        <f>RGPS_Quantidade_Dezembro_Cálc!G26</f>
        <v>5909.7910000000002</v>
      </c>
      <c r="H53" s="31">
        <f>RGPS_Quantidade_Dezembro_Cálc!H26</f>
        <v>6326.8310000000001</v>
      </c>
      <c r="I53" s="31">
        <f>RGPS_Quantidade_Dezembro_Cálc!I26</f>
        <v>6577.7870000000003</v>
      </c>
      <c r="J53" s="31">
        <f>RGPS_Quantidade_Dezembro_Cálc!J26</f>
        <v>6844.9660000000003</v>
      </c>
      <c r="K53" s="31">
        <f>RGPS_Quantidade_Dezembro_Cálc!K26</f>
        <v>7237.241</v>
      </c>
      <c r="L53" s="31">
        <f>RGPS_Quantidade_Dezembro_Cálc!L26</f>
        <v>7443.6850000000004</v>
      </c>
      <c r="M53" s="31">
        <f>RGPS_Quantidade_Dezembro_Cálc!M26</f>
        <v>7575.6949999999997</v>
      </c>
      <c r="N53" s="31">
        <f>RGPS_Quantidade_Dezembro_Cálc!N26</f>
        <v>8224.2209999999995</v>
      </c>
      <c r="O53" s="31">
        <f>RGPS_Quantidade_Dezembro_Cálc!O26</f>
        <v>8554.9740000000002</v>
      </c>
      <c r="P53" s="31">
        <f>RGPS_Quantidade_Dezembro_Cálc!P26</f>
        <v>8785.8220000000001</v>
      </c>
      <c r="Q53" s="18"/>
    </row>
    <row r="54" spans="2:17" s="18" customFormat="1" ht="16.5" customHeight="1">
      <c r="B54" s="21"/>
      <c r="C54" s="47" t="s">
        <v>99</v>
      </c>
      <c r="D54" s="23">
        <f>RGPS_Quantidade_Dezembro_Cálc!D26/RGPS_Quantidade_Dezembro_Cálc!D25</f>
        <v>0.42313846650272063</v>
      </c>
      <c r="E54" s="23">
        <f>RGPS_Quantidade_Dezembro_Cálc!E26/RGPS_Quantidade_Dezembro_Cálc!E25</f>
        <v>0.40995947145898748</v>
      </c>
      <c r="F54" s="23">
        <f>RGPS_Quantidade_Dezembro_Cálc!F26/RGPS_Quantidade_Dezembro_Cálc!F25</f>
        <v>0.4062525885226857</v>
      </c>
      <c r="G54" s="23">
        <f>RGPS_Quantidade_Dezembro_Cálc!G26/RGPS_Quantidade_Dezembro_Cálc!G25</f>
        <v>0.42130361794979426</v>
      </c>
      <c r="H54" s="23">
        <f>RGPS_Quantidade_Dezembro_Cálc!H26/RGPS_Quantidade_Dezembro_Cálc!H25</f>
        <v>0.44121498804182691</v>
      </c>
      <c r="I54" s="23">
        <f>RGPS_Quantidade_Dezembro_Cálc!I26/RGPS_Quantidade_Dezembro_Cálc!I25</f>
        <v>0.45149042308932824</v>
      </c>
      <c r="J54" s="23">
        <f>RGPS_Quantidade_Dezembro_Cálc!J26/RGPS_Quantidade_Dezembro_Cálc!J25</f>
        <v>0.45518796829482017</v>
      </c>
      <c r="K54" s="23">
        <f>RGPS_Quantidade_Dezembro_Cálc!K26/RGPS_Quantidade_Dezembro_Cálc!K25</f>
        <v>0.46575951378822994</v>
      </c>
      <c r="L54" s="23">
        <f>RGPS_Quantidade_Dezembro_Cálc!L26/RGPS_Quantidade_Dezembro_Cálc!L25</f>
        <v>0.4600351357123999</v>
      </c>
      <c r="M54" s="23">
        <f>RGPS_Quantidade_Dezembro_Cálc!M26/RGPS_Quantidade_Dezembro_Cálc!M25</f>
        <v>0.45321071982224037</v>
      </c>
      <c r="N54" s="23">
        <f>RGPS_Quantidade_Dezembro_Cálc!N26/RGPS_Quantidade_Dezembro_Cálc!N25</f>
        <v>0.4744989624075836</v>
      </c>
      <c r="O54" s="23">
        <f>RGPS_Quantidade_Dezembro_Cálc!O26/RGPS_Quantidade_Dezembro_Cálc!O25</f>
        <v>0.47382673939527675</v>
      </c>
      <c r="P54" s="23">
        <f>RGPS_Quantidade_Dezembro_Cálc!P26/RGPS_Quantidade_Dezembro_Cálc!P25</f>
        <v>0.47105997343330919</v>
      </c>
    </row>
    <row r="55" spans="2:17" ht="16.5" customHeight="1">
      <c r="C55" s="18" t="s">
        <v>51</v>
      </c>
    </row>
    <row r="56" spans="2:17" ht="16.5" customHeight="1">
      <c r="C56" s="18"/>
    </row>
    <row r="57" spans="2:17" ht="16.5" customHeight="1">
      <c r="C57" s="18"/>
    </row>
    <row r="58" spans="2:17" ht="30" customHeight="1">
      <c r="C58" s="594" t="s">
        <v>52</v>
      </c>
    </row>
    <row r="59" spans="2:17" ht="16.5" customHeight="1">
      <c r="C59" s="18"/>
    </row>
    <row r="60" spans="2:17" ht="16.5" customHeight="1">
      <c r="C60" s="40" t="s">
        <v>280</v>
      </c>
      <c r="D60" s="39"/>
      <c r="E60" s="39"/>
      <c r="F60" s="39"/>
      <c r="G60" s="39"/>
      <c r="H60" s="39"/>
      <c r="I60" s="39"/>
      <c r="J60" s="39"/>
      <c r="K60" s="39"/>
      <c r="L60" s="39"/>
      <c r="M60" s="39"/>
      <c r="N60" s="39"/>
      <c r="O60" s="39"/>
      <c r="P60" s="39"/>
      <c r="Q60" s="39"/>
    </row>
    <row r="61" spans="2:17" s="34" customFormat="1" ht="35.25" customHeight="1">
      <c r="C61" s="35"/>
      <c r="D61" s="33">
        <v>2002</v>
      </c>
      <c r="E61" s="33">
        <v>2003</v>
      </c>
      <c r="F61" s="33">
        <v>2004</v>
      </c>
      <c r="G61" s="33">
        <v>2005</v>
      </c>
      <c r="H61" s="33">
        <v>2006</v>
      </c>
      <c r="I61" s="33">
        <v>2007</v>
      </c>
      <c r="J61" s="33">
        <v>2008</v>
      </c>
      <c r="K61" s="33">
        <v>2009</v>
      </c>
      <c r="L61" s="33">
        <v>2010</v>
      </c>
      <c r="M61" s="33">
        <v>2011</v>
      </c>
      <c r="N61" s="33">
        <v>2012</v>
      </c>
      <c r="O61" s="33">
        <v>2013</v>
      </c>
      <c r="P61" s="33">
        <v>2014</v>
      </c>
      <c r="Q61" s="33">
        <v>2015</v>
      </c>
    </row>
    <row r="62" spans="2:17" ht="22.5" customHeight="1">
      <c r="C62" s="54" t="s">
        <v>61</v>
      </c>
      <c r="D62" s="56">
        <f>D9+'RGPS_Valor Acumulado'!AD67/1000</f>
        <v>45.589144596399578</v>
      </c>
      <c r="E62" s="56">
        <f>E9+'RGPS_Valor Acumulado'!AE67/1000</f>
        <v>55.662045319582766</v>
      </c>
      <c r="F62" s="56">
        <f>F9+'RGPS_Valor Acumulado'!AF67/1000</f>
        <v>64.42608649051752</v>
      </c>
      <c r="G62" s="56">
        <f>G9+'RGPS_Valor Acumulado'!AG67/1000</f>
        <v>74.861130207003939</v>
      </c>
      <c r="H62" s="56">
        <f>H9+'RGPS_Valor Acumulado'!AH67/1000</f>
        <v>87.547640102915267</v>
      </c>
      <c r="I62" s="56">
        <f>I9+'RGPS_Valor Acumulado'!AI67/1000</f>
        <v>97.299939788257632</v>
      </c>
      <c r="J62" s="56">
        <f>J9+'RGPS_Valor Acumulado'!AJ67/1000</f>
        <v>108.94947246093028</v>
      </c>
      <c r="K62" s="56">
        <f>K9+'RGPS_Valor Acumulado'!AK67/1000</f>
        <v>127.50031383528665</v>
      </c>
      <c r="L62" s="56">
        <f>L9+'RGPS_Valor Acumulado'!AL67/1000</f>
        <v>144.01337524702257</v>
      </c>
      <c r="M62" s="56">
        <f>M9+'RGPS_Valor Acumulado'!AM67/1000</f>
        <v>158.24605406522011</v>
      </c>
      <c r="N62" s="56">
        <f>N9+'RGPS_Valor Acumulado'!AN67/1000</f>
        <v>185.72880299089405</v>
      </c>
      <c r="O62" s="56">
        <f>O9+'RGPS_Valor Acumulado'!AO67/1000</f>
        <v>209.22141066936575</v>
      </c>
      <c r="P62" s="56">
        <f>P9+'RGPS_Valor Acumulado'!AP67/1000</f>
        <v>236.84392187250361</v>
      </c>
      <c r="Q62" s="55">
        <f>'Beps 2015'!V9/1000000000</f>
        <v>271.48559076639026</v>
      </c>
    </row>
    <row r="63" spans="2:17" s="59" customFormat="1" ht="22.5" customHeight="1">
      <c r="C63" s="64" t="s">
        <v>57</v>
      </c>
      <c r="D63" s="60">
        <v>3.0621665008510584E-2</v>
      </c>
      <c r="E63" s="60">
        <v>3.2400263380962704E-2</v>
      </c>
      <c r="F63" s="60">
        <v>3.290820920653395E-2</v>
      </c>
      <c r="G63" s="60">
        <v>3.4488926871530684E-2</v>
      </c>
      <c r="H63" s="60">
        <v>3.6335115040542987E-2</v>
      </c>
      <c r="I63" s="60">
        <v>3.5768578998314718E-2</v>
      </c>
      <c r="J63" s="60">
        <v>3.5034202919369761E-2</v>
      </c>
      <c r="K63" s="60">
        <v>3.8253467852955372E-2</v>
      </c>
      <c r="L63" s="60">
        <v>3.7060999891921263E-2</v>
      </c>
      <c r="M63" s="60">
        <v>3.6181625098537673E-2</v>
      </c>
      <c r="N63" s="60">
        <v>3.8645893712785415E-2</v>
      </c>
      <c r="O63" s="60">
        <v>3.9353556207917896E-2</v>
      </c>
      <c r="P63" s="60">
        <v>4.1644285877996783E-2</v>
      </c>
      <c r="Q63" s="60">
        <v>4.578366049703244E-2</v>
      </c>
    </row>
    <row r="64" spans="2:17" s="59" customFormat="1" ht="22.5" customHeight="1">
      <c r="C64" s="65" t="s">
        <v>60</v>
      </c>
      <c r="D64" s="61">
        <f t="shared" ref="D64:Q64" si="6">D62/D13</f>
        <v>0.54484218483587887</v>
      </c>
      <c r="E64" s="61">
        <f t="shared" si="6"/>
        <v>0.54378315355219764</v>
      </c>
      <c r="F64" s="61">
        <f t="shared" si="6"/>
        <v>0.54113414011738725</v>
      </c>
      <c r="G64" s="61">
        <f t="shared" si="6"/>
        <v>0.56287562920808065</v>
      </c>
      <c r="H64" s="61">
        <f t="shared" si="6"/>
        <v>0.59749119123947703</v>
      </c>
      <c r="I64" s="61">
        <f t="shared" si="6"/>
        <v>0.61111068236308497</v>
      </c>
      <c r="J64" s="61">
        <f t="shared" si="6"/>
        <v>0.62232440921614762</v>
      </c>
      <c r="K64" s="61">
        <f t="shared" si="6"/>
        <v>0.64055406898719336</v>
      </c>
      <c r="L64" s="61">
        <f t="shared" si="6"/>
        <v>0.64455774436579372</v>
      </c>
      <c r="M64" s="61">
        <f t="shared" si="6"/>
        <v>0.64118402266070962</v>
      </c>
      <c r="N64" s="61">
        <f t="shared" si="6"/>
        <v>0.66622478769772064</v>
      </c>
      <c r="O64" s="61">
        <f t="shared" si="6"/>
        <v>0.67152279937968162</v>
      </c>
      <c r="P64" s="61">
        <f t="shared" si="6"/>
        <v>0.68992479839162546</v>
      </c>
      <c r="Q64" s="61">
        <f t="shared" si="6"/>
        <v>0.71403323773743543</v>
      </c>
    </row>
    <row r="65" spans="3:17" ht="22.5" customHeight="1">
      <c r="C65" s="70" t="s">
        <v>54</v>
      </c>
      <c r="D65" s="57">
        <f>('RGPS_Valor Acumulado'!Q66+'RGPS_Valor Acumulado'!Q67)/1000</f>
        <v>16.321503366312186</v>
      </c>
      <c r="E65" s="57">
        <f>('RGPS_Valor Acumulado'!R66+'RGPS_Valor Acumulado'!R67)/1000</f>
        <v>19.903734330924738</v>
      </c>
      <c r="F65" s="57">
        <f>('RGPS_Valor Acumulado'!S66+'RGPS_Valor Acumulado'!S67)/1000</f>
        <v>22.474185556640979</v>
      </c>
      <c r="G65" s="57">
        <f>('RGPS_Valor Acumulado'!T66+'RGPS_Valor Acumulado'!T67)/1000</f>
        <v>25.67311530763341</v>
      </c>
      <c r="H65" s="57">
        <f>('RGPS_Valor Acumulado'!U66+'RGPS_Valor Acumulado'!U67)/1000</f>
        <v>29.894300552232401</v>
      </c>
      <c r="I65" s="57">
        <f>('RGPS_Valor Acumulado'!V66+'RGPS_Valor Acumulado'!V67)/1000</f>
        <v>33.168349156888958</v>
      </c>
      <c r="J65" s="57">
        <f>('RGPS_Valor Acumulado'!W66+'RGPS_Valor Acumulado'!W67)/1000</f>
        <v>37.220552482844262</v>
      </c>
      <c r="K65" s="57">
        <f>('RGPS_Valor Acumulado'!X66+'RGPS_Valor Acumulado'!X67)/1000</f>
        <v>43.591724743564839</v>
      </c>
      <c r="L65" s="57">
        <f>('RGPS_Valor Acumulado'!Y66+'RGPS_Valor Acumulado'!Y67)/1000</f>
        <v>49.061037515881516</v>
      </c>
      <c r="M65" s="57">
        <f>('RGPS_Valor Acumulado'!Z66+'RGPS_Valor Acumulado'!Z67)/1000</f>
        <v>53.291190841303376</v>
      </c>
      <c r="N65" s="57">
        <f>('RGPS_Valor Acumulado'!AA66+'RGPS_Valor Acumulado'!AA67)/1000</f>
        <v>62.185802894957952</v>
      </c>
      <c r="O65" s="57">
        <f>('RGPS_Valor Acumulado'!AB66+'RGPS_Valor Acumulado'!AB67)/1000</f>
        <v>69.60560120569474</v>
      </c>
      <c r="P65" s="57">
        <f>('RGPS_Valor Acumulado'!AC66+'RGPS_Valor Acumulado'!AC67)/1000</f>
        <v>76.413466200139482</v>
      </c>
      <c r="Q65" s="57">
        <f>SUM('Beps 2015'!V6:V8)/1000000000</f>
        <v>86.903372580579642</v>
      </c>
    </row>
    <row r="66" spans="3:17" s="59" customFormat="1" ht="22.5" customHeight="1">
      <c r="C66" s="71" t="s">
        <v>57</v>
      </c>
      <c r="D66" s="58">
        <v>1.0962952100618286E-2</v>
      </c>
      <c r="E66" s="58">
        <v>1.1585744485026857E-2</v>
      </c>
      <c r="F66" s="58">
        <v>1.1479592201417666E-2</v>
      </c>
      <c r="G66" s="58">
        <v>1.1827742834778934E-2</v>
      </c>
      <c r="H66" s="58">
        <v>1.2407105986466927E-2</v>
      </c>
      <c r="I66" s="58">
        <v>1.2193067330192157E-2</v>
      </c>
      <c r="J66" s="58">
        <v>1.1968781114774417E-2</v>
      </c>
      <c r="K66" s="58">
        <v>1.3078670875171873E-2</v>
      </c>
      <c r="L66" s="58">
        <v>1.2625571082927741E-2</v>
      </c>
      <c r="M66" s="58">
        <v>1.2184581154105641E-2</v>
      </c>
      <c r="N66" s="58">
        <v>1.2939435835596239E-2</v>
      </c>
      <c r="O66" s="58">
        <v>1.3092483846039301E-2</v>
      </c>
      <c r="P66" s="58">
        <v>1.3435785922681468E-2</v>
      </c>
      <c r="Q66" s="58">
        <v>1.4655490536512642E-2</v>
      </c>
    </row>
    <row r="67" spans="3:17" s="59" customFormat="1" ht="22.5" customHeight="1">
      <c r="C67" s="72" t="s">
        <v>58</v>
      </c>
      <c r="D67" s="62">
        <f>D65*1000/'RGPS_Valor Acumulado'!Q25</f>
        <v>0.98854006649349102</v>
      </c>
      <c r="E67" s="62">
        <f>E65*1000/'RGPS_Valor Acumulado'!R25</f>
        <v>0.98842275926684153</v>
      </c>
      <c r="F67" s="62">
        <f>F65*1000/'RGPS_Valor Acumulado'!S25</f>
        <v>0.98875637395048865</v>
      </c>
      <c r="G67" s="62">
        <f>G65*1000/'RGPS_Valor Acumulado'!T25</f>
        <v>0.99054516144515636</v>
      </c>
      <c r="H67" s="62">
        <f>H65*1000/'RGPS_Valor Acumulado'!U25</f>
        <v>0.99265016331799549</v>
      </c>
      <c r="I67" s="62">
        <f>I65*1000/'RGPS_Valor Acumulado'!V25</f>
        <v>0.99345038903815008</v>
      </c>
      <c r="J67" s="62">
        <f>J65*1000/'RGPS_Valor Acumulado'!W25</f>
        <v>0.99413013532209971</v>
      </c>
      <c r="K67" s="62">
        <f>K65*1000/'RGPS_Valor Acumulado'!X25</f>
        <v>0.99490621130649526</v>
      </c>
      <c r="L67" s="62">
        <f>L65*1000/'RGPS_Valor Acumulado'!Y25</f>
        <v>0.99508312570066271</v>
      </c>
      <c r="M67" s="62">
        <f>M65*1000/'RGPS_Valor Acumulado'!Z25</f>
        <v>0.99515094259832615</v>
      </c>
      <c r="N67" s="62">
        <f>N65*1000/'RGPS_Valor Acumulado'!AA25</f>
        <v>0.99600858258676628</v>
      </c>
      <c r="O67" s="62">
        <f>O65*1000/'RGPS_Valor Acumulado'!AB25</f>
        <v>0.99626932056436657</v>
      </c>
      <c r="P67" s="62">
        <f>P65*1000/'RGPS_Valor Acumulado'!AC25</f>
        <v>0.99637053747535753</v>
      </c>
      <c r="Q67" s="62">
        <f>Q65/'Beps 2015'!Q6*1000000000</f>
        <v>0.99661677356530842</v>
      </c>
    </row>
    <row r="68" spans="3:17" ht="22.5" customHeight="1">
      <c r="C68" s="73" t="s">
        <v>55</v>
      </c>
      <c r="D68" s="55">
        <f>SUM('RGPS_Valor Acumulado'!D66:D67)/1000</f>
        <v>29.267641230087388</v>
      </c>
      <c r="E68" s="55">
        <f>SUM('RGPS_Valor Acumulado'!E66:E67)/1000</f>
        <v>35.758310988658025</v>
      </c>
      <c r="F68" s="55">
        <f>SUM('RGPS_Valor Acumulado'!F66:F67)/1000</f>
        <v>41.951900933876544</v>
      </c>
      <c r="G68" s="55">
        <f>SUM('RGPS_Valor Acumulado'!G66:G67)/1000</f>
        <v>49.188014899370536</v>
      </c>
      <c r="H68" s="55">
        <f>SUM('RGPS_Valor Acumulado'!H66:H67)/1000</f>
        <v>57.653339550682858</v>
      </c>
      <c r="I68" s="55">
        <f>SUM('RGPS_Valor Acumulado'!I66:I67)/1000</f>
        <v>64.131590631368667</v>
      </c>
      <c r="J68" s="55">
        <f>SUM('RGPS_Valor Acumulado'!J66:J67)/1000</f>
        <v>71.728919978086026</v>
      </c>
      <c r="K68" s="55">
        <f>SUM('RGPS_Valor Acumulado'!K66:K67)/1000</f>
        <v>83.908589091721808</v>
      </c>
      <c r="L68" s="55">
        <f>SUM('RGPS_Valor Acumulado'!L66:L67)/1000</f>
        <v>94.952337731141043</v>
      </c>
      <c r="M68" s="55">
        <f>SUM('RGPS_Valor Acumulado'!M66:M67)/1000</f>
        <v>104.95486322391673</v>
      </c>
      <c r="N68" s="55">
        <f>SUM('RGPS_Valor Acumulado'!N66:N67)/1000</f>
        <v>123.54300009593611</v>
      </c>
      <c r="O68" s="55">
        <f>SUM('RGPS_Valor Acumulado'!O66:O67)/1000</f>
        <v>139.61580946367107</v>
      </c>
      <c r="P68" s="55">
        <f>SUM('RGPS_Valor Acumulado'!P66:P67)/1000</f>
        <v>160.43045567236413</v>
      </c>
      <c r="Q68" s="55">
        <f>SUM('Beps 2015'!V3:V5)/1000000000</f>
        <v>184.58221818581063</v>
      </c>
    </row>
    <row r="69" spans="3:17" s="59" customFormat="1" ht="22.5" customHeight="1">
      <c r="C69" s="74" t="s">
        <v>57</v>
      </c>
      <c r="D69" s="19">
        <v>1.9658712907892294E-2</v>
      </c>
      <c r="E69" s="19">
        <v>2.0814518895935847E-2</v>
      </c>
      <c r="F69" s="19">
        <v>2.1428617005116283E-2</v>
      </c>
      <c r="G69" s="19">
        <v>2.2661184036751755E-2</v>
      </c>
      <c r="H69" s="19">
        <v>2.3928009054076056E-2</v>
      </c>
      <c r="I69" s="19">
        <v>2.3575511668122561E-2</v>
      </c>
      <c r="J69" s="19">
        <v>2.3065421804595344E-2</v>
      </c>
      <c r="K69" s="19">
        <v>2.5174796977783499E-2</v>
      </c>
      <c r="L69" s="19">
        <v>2.443542880899352E-2</v>
      </c>
      <c r="M69" s="19">
        <v>2.3997043944432035E-2</v>
      </c>
      <c r="N69" s="19">
        <v>2.5706457877189174E-2</v>
      </c>
      <c r="O69" s="19">
        <v>2.6261072361878607E-2</v>
      </c>
      <c r="P69" s="19">
        <v>2.8208499955315318E-2</v>
      </c>
      <c r="Q69" s="19">
        <v>3.11281699605198E-2</v>
      </c>
    </row>
    <row r="70" spans="3:17" s="59" customFormat="1" ht="22.5" customHeight="1">
      <c r="C70" s="75" t="s">
        <v>59</v>
      </c>
      <c r="D70" s="63">
        <f>D68*1000/'RGPS_Valor Acumulado'!D25</f>
        <v>0.43576822609886051</v>
      </c>
      <c r="E70" s="63">
        <f>E68*1000/'RGPS_Valor Acumulado'!E25</f>
        <v>0.4348896344643769</v>
      </c>
      <c r="F70" s="63">
        <f>F68*1000/'RGPS_Valor Acumulado'!F25</f>
        <v>0.43551203231478153</v>
      </c>
      <c r="G70" s="63">
        <f>G68*1000/'RGPS_Valor Acumulado'!G25</f>
        <v>0.45935989202798333</v>
      </c>
      <c r="H70" s="63">
        <f>H68*1000/'RGPS_Valor Acumulado'!H25</f>
        <v>0.49526207051685206</v>
      </c>
      <c r="I70" s="63">
        <f>I68*1000/'RGPS_Valor Acumulado'!I25</f>
        <v>0.50966377150344999</v>
      </c>
      <c r="J70" s="63">
        <f>J68*1000/'RGPS_Valor Acumulado'!J25</f>
        <v>0.52117859214234796</v>
      </c>
      <c r="K70" s="63">
        <f>K68*1000/'RGPS_Valor Acumulado'!K25</f>
        <v>0.54053663888899195</v>
      </c>
      <c r="L70" s="63">
        <f>L68*1000/'RGPS_Valor Acumulado'!L25</f>
        <v>0.54530729475323081</v>
      </c>
      <c r="M70" s="63">
        <f>M68*1000/'RGPS_Valor Acumulado'!M25</f>
        <v>0.54309844856332334</v>
      </c>
      <c r="N70" s="63">
        <f>N68*1000/'RGPS_Valor Acumulado'!N25</f>
        <v>0.57105158684786017</v>
      </c>
      <c r="O70" s="63">
        <f>O68*1000/'RGPS_Valor Acumulado'!O25</f>
        <v>0.57764956313073157</v>
      </c>
      <c r="P70" s="63">
        <f>P68*1000/'RGPS_Valor Acumulado'!P25</f>
        <v>0.60176993451823613</v>
      </c>
      <c r="Q70" s="63">
        <f>Q68*1000000000/'Beps 2015'!Q3</f>
        <v>0.62993939438886382</v>
      </c>
    </row>
    <row r="71" spans="3:17" ht="16.5" customHeight="1">
      <c r="C71" s="18" t="s">
        <v>104</v>
      </c>
    </row>
    <row r="72" spans="3:17" ht="16.5" customHeight="1">
      <c r="C72" s="18"/>
    </row>
    <row r="73" spans="3:17" s="37" customFormat="1" ht="24.75" customHeight="1">
      <c r="C73" s="40" t="s">
        <v>281</v>
      </c>
      <c r="D73" s="39"/>
      <c r="E73" s="39"/>
      <c r="F73" s="39"/>
      <c r="G73" s="39"/>
      <c r="H73" s="39"/>
      <c r="I73" s="39"/>
      <c r="J73" s="39"/>
      <c r="K73" s="39"/>
      <c r="L73" s="39"/>
      <c r="M73" s="39"/>
      <c r="N73" s="39"/>
      <c r="O73" s="39"/>
      <c r="P73" s="39"/>
      <c r="Q73" s="39"/>
    </row>
    <row r="74" spans="3:17" s="34" customFormat="1" ht="35.25" customHeight="1">
      <c r="C74" s="35"/>
      <c r="D74" s="33">
        <v>2002</v>
      </c>
      <c r="E74" s="33">
        <v>2003</v>
      </c>
      <c r="F74" s="33">
        <v>2004</v>
      </c>
      <c r="G74" s="33">
        <v>2005</v>
      </c>
      <c r="H74" s="33">
        <v>2006</v>
      </c>
      <c r="I74" s="33">
        <v>2007</v>
      </c>
      <c r="J74" s="33">
        <v>2008</v>
      </c>
      <c r="K74" s="33">
        <v>2009</v>
      </c>
      <c r="L74" s="33">
        <v>2010</v>
      </c>
      <c r="M74" s="33">
        <v>2011</v>
      </c>
      <c r="N74" s="33">
        <v>2012</v>
      </c>
      <c r="O74" s="33">
        <v>2013</v>
      </c>
      <c r="P74" s="33">
        <v>2014</v>
      </c>
      <c r="Q74" s="18"/>
    </row>
    <row r="75" spans="3:17" ht="16.5" customHeight="1">
      <c r="C75" s="49" t="s">
        <v>54</v>
      </c>
      <c r="D75" s="67">
        <f>D65</f>
        <v>16.321503366312186</v>
      </c>
      <c r="E75" s="67">
        <f t="shared" ref="E75:P75" si="7">E65</f>
        <v>19.903734330924738</v>
      </c>
      <c r="F75" s="67">
        <f t="shared" si="7"/>
        <v>22.474185556640979</v>
      </c>
      <c r="G75" s="67">
        <f t="shared" si="7"/>
        <v>25.67311530763341</v>
      </c>
      <c r="H75" s="67">
        <f t="shared" si="7"/>
        <v>29.894300552232401</v>
      </c>
      <c r="I75" s="67">
        <f t="shared" si="7"/>
        <v>33.168349156888958</v>
      </c>
      <c r="J75" s="67">
        <f t="shared" si="7"/>
        <v>37.220552482844262</v>
      </c>
      <c r="K75" s="67">
        <f t="shared" si="7"/>
        <v>43.591724743564839</v>
      </c>
      <c r="L75" s="67">
        <f t="shared" si="7"/>
        <v>49.061037515881516</v>
      </c>
      <c r="M75" s="67">
        <f t="shared" si="7"/>
        <v>53.291190841303376</v>
      </c>
      <c r="N75" s="67">
        <f t="shared" si="7"/>
        <v>62.185802894957952</v>
      </c>
      <c r="O75" s="67">
        <f t="shared" si="7"/>
        <v>69.60560120569474</v>
      </c>
      <c r="P75" s="67">
        <f t="shared" si="7"/>
        <v>76.413466200139482</v>
      </c>
      <c r="Q75" s="18"/>
    </row>
    <row r="76" spans="3:17" ht="16.5" customHeight="1">
      <c r="C76" s="64" t="s">
        <v>157</v>
      </c>
      <c r="D76" s="19">
        <f>D75/D$75</f>
        <v>1</v>
      </c>
      <c r="E76" s="19">
        <f t="shared" ref="E76:P76" si="8">E75/E$75</f>
        <v>1</v>
      </c>
      <c r="F76" s="19">
        <f t="shared" si="8"/>
        <v>1</v>
      </c>
      <c r="G76" s="19">
        <f t="shared" si="8"/>
        <v>1</v>
      </c>
      <c r="H76" s="19">
        <f t="shared" si="8"/>
        <v>1</v>
      </c>
      <c r="I76" s="19">
        <f t="shared" si="8"/>
        <v>1</v>
      </c>
      <c r="J76" s="19">
        <f t="shared" si="8"/>
        <v>1</v>
      </c>
      <c r="K76" s="19">
        <f t="shared" si="8"/>
        <v>1</v>
      </c>
      <c r="L76" s="19">
        <f t="shared" si="8"/>
        <v>1</v>
      </c>
      <c r="M76" s="19">
        <f t="shared" si="8"/>
        <v>1</v>
      </c>
      <c r="N76" s="19">
        <f t="shared" si="8"/>
        <v>1</v>
      </c>
      <c r="O76" s="19">
        <f t="shared" si="8"/>
        <v>1</v>
      </c>
      <c r="P76" s="19">
        <f t="shared" si="8"/>
        <v>1</v>
      </c>
      <c r="Q76" s="18"/>
    </row>
    <row r="77" spans="3:17" ht="16.5" customHeight="1">
      <c r="C77" s="50" t="s">
        <v>53</v>
      </c>
      <c r="D77" s="68">
        <f>SUM('RGPS_Valor Acumulado'!Q52:Q53)/1000</f>
        <v>1.6016292661892521E-2</v>
      </c>
      <c r="E77" s="68">
        <f>SUM('RGPS_Valor Acumulado'!R52:R53)/1000</f>
        <v>1.9832385000419565E-2</v>
      </c>
      <c r="F77" s="68">
        <f>SUM('RGPS_Valor Acumulado'!S52:S53)/1000</f>
        <v>2.4065208827586428E-2</v>
      </c>
      <c r="G77" s="68">
        <f>SUM('RGPS_Valor Acumulado'!T52:T53)/1000</f>
        <v>3.1934228426064123E-2</v>
      </c>
      <c r="H77" s="68">
        <f>SUM('RGPS_Valor Acumulado'!U52:U53)/1000</f>
        <v>4.2472596519790913E-2</v>
      </c>
      <c r="I77" s="68">
        <f>SUM('RGPS_Valor Acumulado'!V52:V53)/1000</f>
        <v>5.0892868437991609E-2</v>
      </c>
      <c r="J77" s="68">
        <f>SUM('RGPS_Valor Acumulado'!W52:W53)/1000</f>
        <v>6.0957401782531874E-2</v>
      </c>
      <c r="K77" s="68">
        <f>SUM('RGPS_Valor Acumulado'!X52:X53)/1000</f>
        <v>7.8088878066935458E-2</v>
      </c>
      <c r="L77" s="68">
        <f>SUM('RGPS_Valor Acumulado'!Y52:Y53)/1000</f>
        <v>9.2396439089055565E-2</v>
      </c>
      <c r="M77" s="68">
        <f>SUM('RGPS_Valor Acumulado'!Z52:Z53)/1000</f>
        <v>0.10474448305586347</v>
      </c>
      <c r="N77" s="68">
        <f>SUM('RGPS_Valor Acumulado'!AA52:AA53)/1000</f>
        <v>0.12599846944123</v>
      </c>
      <c r="O77" s="68">
        <f>SUM('RGPS_Valor Acumulado'!AB52:AB53)/1000</f>
        <v>0.14497525490086394</v>
      </c>
      <c r="P77" s="68">
        <f>SUM('RGPS_Valor Acumulado'!AC52:AC53)/1000</f>
        <v>0.16450424797657306</v>
      </c>
      <c r="Q77" s="18"/>
    </row>
    <row r="78" spans="3:17" ht="16.5" customHeight="1">
      <c r="C78" s="192" t="s">
        <v>157</v>
      </c>
      <c r="D78" s="19">
        <f>D77/D$75</f>
        <v>9.8130008629905845E-4</v>
      </c>
      <c r="E78" s="19">
        <f t="shared" ref="E78:P78" si="9">E77/E$75</f>
        <v>9.964152791974159E-4</v>
      </c>
      <c r="F78" s="19">
        <f t="shared" si="9"/>
        <v>1.0707933672139372E-3</v>
      </c>
      <c r="G78" s="19">
        <f t="shared" si="9"/>
        <v>1.243878198785213E-3</v>
      </c>
      <c r="H78" s="19">
        <f t="shared" si="9"/>
        <v>1.4207589987121879E-3</v>
      </c>
      <c r="I78" s="19">
        <f t="shared" si="9"/>
        <v>1.5343805082750502E-3</v>
      </c>
      <c r="J78" s="19">
        <f t="shared" si="9"/>
        <v>1.6377350070402212E-3</v>
      </c>
      <c r="K78" s="19">
        <f t="shared" si="9"/>
        <v>1.7913693143894978E-3</v>
      </c>
      <c r="L78" s="19">
        <f t="shared" si="9"/>
        <v>1.8832956612290553E-3</v>
      </c>
      <c r="M78" s="19">
        <f t="shared" si="9"/>
        <v>1.9655121494241631E-3</v>
      </c>
      <c r="N78" s="19">
        <f t="shared" si="9"/>
        <v>2.0261613354749498E-3</v>
      </c>
      <c r="O78" s="19">
        <f t="shared" si="9"/>
        <v>2.0828101817904113E-3</v>
      </c>
      <c r="P78" s="19">
        <f t="shared" si="9"/>
        <v>2.1528175092294503E-3</v>
      </c>
      <c r="Q78" s="18"/>
    </row>
    <row r="79" spans="3:17" ht="16.5" customHeight="1">
      <c r="C79" s="50" t="s">
        <v>48</v>
      </c>
      <c r="D79" s="68">
        <f>SUM('RGPS_Valor Acumulado'!Q54:Q55)/1000</f>
        <v>10.662455701614164</v>
      </c>
      <c r="E79" s="68">
        <f>SUM('RGPS_Valor Acumulado'!R54:R55)/1000</f>
        <v>13.011781917667637</v>
      </c>
      <c r="F79" s="68">
        <f>SUM('RGPS_Valor Acumulado'!S54:S55)/1000</f>
        <v>14.653960967996913</v>
      </c>
      <c r="G79" s="68">
        <f>SUM('RGPS_Valor Acumulado'!T54:T55)/1000</f>
        <v>16.745145144312854</v>
      </c>
      <c r="H79" s="68">
        <f>SUM('RGPS_Valor Acumulado'!U54:U55)/1000</f>
        <v>19.61529033662994</v>
      </c>
      <c r="I79" s="68">
        <f>SUM('RGPS_Valor Acumulado'!V54:V55)/1000</f>
        <v>21.848671966514829</v>
      </c>
      <c r="J79" s="68">
        <f>SUM('RGPS_Valor Acumulado'!W54:W55)/1000</f>
        <v>24.644218931562911</v>
      </c>
      <c r="K79" s="68">
        <f>SUM('RGPS_Valor Acumulado'!X54:X55)/1000</f>
        <v>28.999441837126465</v>
      </c>
      <c r="L79" s="68">
        <f>SUM('RGPS_Valor Acumulado'!Y54:Y55)/1000</f>
        <v>32.745222124589198</v>
      </c>
      <c r="M79" s="68">
        <f>SUM('RGPS_Valor Acumulado'!Z54:Z55)/1000</f>
        <v>35.598397254282204</v>
      </c>
      <c r="N79" s="68">
        <f>SUM('RGPS_Valor Acumulado'!AA54:AA55)/1000</f>
        <v>41.611130265666411</v>
      </c>
      <c r="O79" s="68">
        <f>SUM('RGPS_Valor Acumulado'!AB54:AB55)/1000</f>
        <v>46.624307692185752</v>
      </c>
      <c r="P79" s="68">
        <f>SUM('RGPS_Valor Acumulado'!AC54:AC55)/1000</f>
        <v>51.208678159359586</v>
      </c>
      <c r="Q79" s="18"/>
    </row>
    <row r="80" spans="3:17" ht="16.5" customHeight="1">
      <c r="C80" s="192" t="s">
        <v>157</v>
      </c>
      <c r="D80" s="19">
        <f>D79/D$75</f>
        <v>0.65327656786945398</v>
      </c>
      <c r="E80" s="19">
        <f t="shared" ref="E80:P80" si="10">E79/E$75</f>
        <v>0.65373571116506668</v>
      </c>
      <c r="F80" s="19">
        <f t="shared" si="10"/>
        <v>0.65203523976719857</v>
      </c>
      <c r="G80" s="19">
        <f t="shared" si="10"/>
        <v>0.65224437874643149</v>
      </c>
      <c r="H80" s="19">
        <f t="shared" si="10"/>
        <v>0.65615485140244023</v>
      </c>
      <c r="I80" s="19">
        <f t="shared" si="10"/>
        <v>0.65872051283495758</v>
      </c>
      <c r="J80" s="19">
        <f t="shared" si="10"/>
        <v>0.66211319520101031</v>
      </c>
      <c r="K80" s="19">
        <f t="shared" si="10"/>
        <v>0.66525107707300479</v>
      </c>
      <c r="L80" s="19">
        <f t="shared" si="10"/>
        <v>0.66743843552002469</v>
      </c>
      <c r="M80" s="19">
        <f t="shared" si="10"/>
        <v>0.66799778147745281</v>
      </c>
      <c r="N80" s="19">
        <f t="shared" si="10"/>
        <v>0.66914196373655344</v>
      </c>
      <c r="O80" s="19">
        <f t="shared" si="10"/>
        <v>0.66983557191617527</v>
      </c>
      <c r="P80" s="19">
        <f t="shared" si="10"/>
        <v>0.67015253601028391</v>
      </c>
      <c r="Q80" s="18"/>
    </row>
    <row r="81" spans="3:17" ht="16.5" customHeight="1">
      <c r="C81" s="50" t="s">
        <v>23</v>
      </c>
      <c r="D81" s="68">
        <f>SUM('RGPS_Valor Acumulado'!Q56:Q57)/1000</f>
        <v>1.0704740447201888</v>
      </c>
      <c r="E81" s="68">
        <f>SUM('RGPS_Valor Acumulado'!R56:R57)/1000</f>
        <v>1.2792363729300467</v>
      </c>
      <c r="F81" s="68">
        <f>SUM('RGPS_Valor Acumulado'!S56:S57)/1000</f>
        <v>1.422072554217904</v>
      </c>
      <c r="G81" s="68">
        <f>SUM('RGPS_Valor Acumulado'!T56:T57)/1000</f>
        <v>1.6082318619783547</v>
      </c>
      <c r="H81" s="68">
        <f>SUM('RGPS_Valor Acumulado'!U56:U57)/1000</f>
        <v>1.8566169000403294</v>
      </c>
      <c r="I81" s="68">
        <f>SUM('RGPS_Valor Acumulado'!V56:V57)/1000</f>
        <v>1.9734104825807477</v>
      </c>
      <c r="J81" s="68">
        <f>SUM('RGPS_Valor Acumulado'!W56:W57)/1000</f>
        <v>2.1474878906298751</v>
      </c>
      <c r="K81" s="68">
        <f>SUM('RGPS_Valor Acumulado'!X56:X57)/1000</f>
        <v>2.4402246581567524</v>
      </c>
      <c r="L81" s="68">
        <f>SUM('RGPS_Valor Acumulado'!Y56:Y57)/1000</f>
        <v>2.6749740415701759</v>
      </c>
      <c r="M81" s="68">
        <f>SUM('RGPS_Valor Acumulado'!Z56:Z57)/1000</f>
        <v>2.8410993725685403</v>
      </c>
      <c r="N81" s="68">
        <f>SUM('RGPS_Valor Acumulado'!AA56:AA57)/1000</f>
        <v>3.2588902366095351</v>
      </c>
      <c r="O81" s="68">
        <f>SUM('RGPS_Valor Acumulado'!AB56:AB57)/1000</f>
        <v>3.5842077758856181</v>
      </c>
      <c r="P81" s="68">
        <f>SUM('RGPS_Valor Acumulado'!AC56:AC57)/1000</f>
        <v>3.8969533847388482</v>
      </c>
      <c r="Q81" s="18"/>
    </row>
    <row r="82" spans="3:17" ht="16.5" customHeight="1">
      <c r="C82" s="192" t="s">
        <v>157</v>
      </c>
      <c r="D82" s="19">
        <f>D81/D$75</f>
        <v>6.5586730627379727E-2</v>
      </c>
      <c r="E82" s="19">
        <f t="shared" ref="E82:P82" si="11">E81/E$75</f>
        <v>6.4271174024990746E-2</v>
      </c>
      <c r="F82" s="19">
        <f t="shared" si="11"/>
        <v>6.3275821525718895E-2</v>
      </c>
      <c r="G82" s="19">
        <f t="shared" si="11"/>
        <v>6.2642645534341429E-2</v>
      </c>
      <c r="H82" s="19">
        <f t="shared" si="11"/>
        <v>6.2106049171358979E-2</v>
      </c>
      <c r="I82" s="19">
        <f t="shared" si="11"/>
        <v>5.949679537098327E-2</v>
      </c>
      <c r="J82" s="19">
        <f t="shared" si="11"/>
        <v>5.769629270333098E-2</v>
      </c>
      <c r="K82" s="19">
        <f t="shared" si="11"/>
        <v>5.5979080261489005E-2</v>
      </c>
      <c r="L82" s="19">
        <f t="shared" si="11"/>
        <v>5.4523389170158948E-2</v>
      </c>
      <c r="M82" s="19">
        <f t="shared" si="11"/>
        <v>5.3312739454989704E-2</v>
      </c>
      <c r="N82" s="19">
        <f t="shared" si="11"/>
        <v>5.2405695269615422E-2</v>
      </c>
      <c r="O82" s="19">
        <f t="shared" si="11"/>
        <v>5.1493094144733548E-2</v>
      </c>
      <c r="P82" s="19">
        <f t="shared" si="11"/>
        <v>5.0998254346060992E-2</v>
      </c>
      <c r="Q82" s="18"/>
    </row>
    <row r="83" spans="3:17" ht="16.5" customHeight="1">
      <c r="C83" s="50" t="s">
        <v>24</v>
      </c>
      <c r="D83" s="68">
        <f>SUM('RGPS_Valor Acumulado'!Q58:Q59)/1000</f>
        <v>4.2438031524465005</v>
      </c>
      <c r="E83" s="68">
        <f>SUM('RGPS_Valor Acumulado'!R58:R59)/1000</f>
        <v>5.1477819320897691</v>
      </c>
      <c r="F83" s="68">
        <f>SUM('RGPS_Valor Acumulado'!S58:S59)/1000</f>
        <v>5.8178168826697503</v>
      </c>
      <c r="G83" s="68">
        <f>SUM('RGPS_Valor Acumulado'!T58:T59)/1000</f>
        <v>6.6336302612769256</v>
      </c>
      <c r="H83" s="68">
        <f>SUM('RGPS_Valor Acumulado'!U58:U59)/1000</f>
        <v>7.7406400914976734</v>
      </c>
      <c r="I83" s="68">
        <f>SUM('RGPS_Valor Acumulado'!V58:V59)/1000</f>
        <v>8.5813811855040463</v>
      </c>
      <c r="J83" s="68">
        <f>SUM('RGPS_Valor Acumulado'!W58:W59)/1000</f>
        <v>9.6169523689455723</v>
      </c>
      <c r="K83" s="68">
        <f>SUM('RGPS_Valor Acumulado'!X58:X59)/1000</f>
        <v>11.207563302482436</v>
      </c>
      <c r="L83" s="68">
        <f>SUM('RGPS_Valor Acumulado'!Y58:Y59)/1000</f>
        <v>12.557747621185307</v>
      </c>
      <c r="M83" s="68">
        <f>SUM('RGPS_Valor Acumulado'!Z58:Z59)/1000</f>
        <v>13.569584795545806</v>
      </c>
      <c r="N83" s="68">
        <f>SUM('RGPS_Valor Acumulado'!AA58:AA59)/1000</f>
        <v>15.774263297321003</v>
      </c>
      <c r="O83" s="68">
        <f>SUM('RGPS_Valor Acumulado'!AB58:AB59)/1000</f>
        <v>17.569834406311951</v>
      </c>
      <c r="P83" s="68">
        <f>SUM('RGPS_Valor Acumulado'!AC58:AC59)/1000</f>
        <v>19.197011757518293</v>
      </c>
      <c r="Q83" s="18"/>
    </row>
    <row r="84" spans="3:17" ht="16.5" customHeight="1">
      <c r="C84" s="192" t="s">
        <v>157</v>
      </c>
      <c r="D84" s="19">
        <f>D83/D$75</f>
        <v>0.26001300598361365</v>
      </c>
      <c r="E84" s="19">
        <f t="shared" ref="E84:P84" si="12">E83/E$75</f>
        <v>0.2586339752380829</v>
      </c>
      <c r="F84" s="19">
        <f t="shared" si="12"/>
        <v>0.25886663914949398</v>
      </c>
      <c r="G84" s="19">
        <f t="shared" si="12"/>
        <v>0.25838820812309221</v>
      </c>
      <c r="H84" s="19">
        <f t="shared" si="12"/>
        <v>0.25893364114584139</v>
      </c>
      <c r="I84" s="19">
        <f t="shared" si="12"/>
        <v>0.25872198658164819</v>
      </c>
      <c r="J84" s="19">
        <f t="shared" si="12"/>
        <v>0.2583774750086858</v>
      </c>
      <c r="K84" s="19">
        <f t="shared" si="12"/>
        <v>0.25710300219623533</v>
      </c>
      <c r="L84" s="19">
        <f t="shared" si="12"/>
        <v>0.25596172150090074</v>
      </c>
      <c r="M84" s="19">
        <f t="shared" si="12"/>
        <v>0.25463091706760455</v>
      </c>
      <c r="N84" s="19">
        <f t="shared" si="12"/>
        <v>0.2536634177412862</v>
      </c>
      <c r="O84" s="19">
        <f t="shared" si="12"/>
        <v>0.25241983550132008</v>
      </c>
      <c r="P84" s="19">
        <f t="shared" si="12"/>
        <v>0.25122550660426984</v>
      </c>
      <c r="Q84" s="18"/>
    </row>
    <row r="85" spans="3:17" ht="16.5" customHeight="1">
      <c r="C85" s="50" t="s">
        <v>49</v>
      </c>
      <c r="D85" s="68">
        <f>SUM('RGPS_Valor Acumulado'!Q60:Q61)/1000</f>
        <v>0.26932744809357506</v>
      </c>
      <c r="E85" s="68">
        <f>SUM('RGPS_Valor Acumulado'!R60:R61)/1000</f>
        <v>0.37582958991916782</v>
      </c>
      <c r="F85" s="68">
        <f>SUM('RGPS_Valor Acumulado'!S60:S61)/1000</f>
        <v>0.48665052260589581</v>
      </c>
      <c r="G85" s="68">
        <f>SUM('RGPS_Valor Acumulado'!T60:T61)/1000</f>
        <v>0.58124120485176622</v>
      </c>
      <c r="H85" s="68">
        <f>SUM('RGPS_Valor Acumulado'!U60:U61)/1000</f>
        <v>0.55025538691637133</v>
      </c>
      <c r="I85" s="68">
        <f>SUM('RGPS_Valor Acumulado'!V60:V61)/1000</f>
        <v>0.61741974182397108</v>
      </c>
      <c r="J85" s="68">
        <f>SUM('RGPS_Valor Acumulado'!W60:W61)/1000</f>
        <v>0.64031209609518913</v>
      </c>
      <c r="K85" s="68">
        <f>SUM('RGPS_Valor Acumulado'!X60:X61)/1000</f>
        <v>0.72357517415579387</v>
      </c>
      <c r="L85" s="68">
        <f>SUM('RGPS_Valor Acumulado'!Y60:Y61)/1000</f>
        <v>0.83259180668382271</v>
      </c>
      <c r="M85" s="68">
        <f>SUM('RGPS_Valor Acumulado'!Z60:Z61)/1000</f>
        <v>1.0091246705592811</v>
      </c>
      <c r="N85" s="68">
        <f>SUM('RGPS_Valor Acumulado'!AA60:AA61)/1000</f>
        <v>1.2317025045116266</v>
      </c>
      <c r="O85" s="68">
        <f>SUM('RGPS_Valor Acumulado'!AB60:AB61)/1000</f>
        <v>1.4722136108390267</v>
      </c>
      <c r="P85" s="68">
        <f>SUM('RGPS_Valor Acumulado'!AC60:AC61)/1000</f>
        <v>1.7234442237142829</v>
      </c>
      <c r="Q85" s="18"/>
    </row>
    <row r="86" spans="3:17" ht="16.5" customHeight="1">
      <c r="C86" s="192" t="s">
        <v>157</v>
      </c>
      <c r="D86" s="19">
        <f>D85/D$75</f>
        <v>1.6501387283322854E-2</v>
      </c>
      <c r="E86" s="19">
        <f t="shared" ref="E86:P86" si="13">E85/E$75</f>
        <v>1.8882365674226048E-2</v>
      </c>
      <c r="F86" s="19">
        <f t="shared" si="13"/>
        <v>2.1653755655768075E-2</v>
      </c>
      <c r="G86" s="19">
        <f t="shared" si="13"/>
        <v>2.2640073005824317E-2</v>
      </c>
      <c r="H86" s="19">
        <f t="shared" si="13"/>
        <v>1.8406698827254556E-2</v>
      </c>
      <c r="I86" s="19">
        <f t="shared" si="13"/>
        <v>1.8614726313435921E-2</v>
      </c>
      <c r="J86" s="19">
        <f t="shared" si="13"/>
        <v>1.7203186234012041E-2</v>
      </c>
      <c r="K86" s="19">
        <f t="shared" si="13"/>
        <v>1.6598911339533784E-2</v>
      </c>
      <c r="L86" s="19">
        <f t="shared" si="13"/>
        <v>1.6970529952904174E-2</v>
      </c>
      <c r="M86" s="19">
        <f t="shared" si="13"/>
        <v>1.8936050304530976E-2</v>
      </c>
      <c r="N86" s="19">
        <f t="shared" si="13"/>
        <v>1.9806811959832291E-2</v>
      </c>
      <c r="O86" s="19">
        <f t="shared" si="13"/>
        <v>2.1150792254324764E-2</v>
      </c>
      <c r="P86" s="19">
        <f t="shared" si="13"/>
        <v>2.2554195083891337E-2</v>
      </c>
      <c r="Q86" s="18"/>
    </row>
    <row r="87" spans="3:17" ht="16.5" customHeight="1">
      <c r="C87" s="50" t="s">
        <v>50</v>
      </c>
      <c r="D87" s="68">
        <f>SUM('RGPS_Valor Acumulado'!Q62:Q63)/1000</f>
        <v>8.5585218486920276E-3</v>
      </c>
      <c r="E87" s="68">
        <f>SUM('RGPS_Valor Acumulado'!R62:R63)/1000</f>
        <v>1.1290903402446055E-2</v>
      </c>
      <c r="F87" s="68">
        <f>SUM('RGPS_Valor Acumulado'!S62:S63)/1000</f>
        <v>1.3880745224116477E-2</v>
      </c>
      <c r="G87" s="68">
        <f>SUM('RGPS_Valor Acumulado'!T62:T63)/1000</f>
        <v>1.7358457699329324E-2</v>
      </c>
      <c r="H87" s="68">
        <f>SUM('RGPS_Valor Acumulado'!U62:U63)/1000</f>
        <v>2.3454858232459408E-2</v>
      </c>
      <c r="I87" s="68">
        <f>SUM('RGPS_Valor Acumulado'!V62:V63)/1000</f>
        <v>2.8607157443467968E-2</v>
      </c>
      <c r="J87" s="68">
        <f>SUM('RGPS_Valor Acumulado'!W62:W63)/1000</f>
        <v>3.4119281692828331E-2</v>
      </c>
      <c r="K87" s="68">
        <f>SUM('RGPS_Valor Acumulado'!X62:X63)/1000</f>
        <v>4.1570571159074234E-2</v>
      </c>
      <c r="L87" s="68">
        <f>SUM('RGPS_Valor Acumulado'!Y62:Y63)/1000</f>
        <v>4.9678779811646263E-2</v>
      </c>
      <c r="M87" s="68">
        <f>SUM('RGPS_Valor Acumulado'!Z62:Z63)/1000</f>
        <v>5.7469556595435629E-2</v>
      </c>
      <c r="N87" s="68">
        <f>SUM('RGPS_Valor Acumulado'!AA62:AA63)/1000</f>
        <v>7.0073736756197019E-2</v>
      </c>
      <c r="O87" s="68">
        <f>SUM('RGPS_Valor Acumulado'!AB62:AB63)/1000</f>
        <v>8.1755427079203538E-2</v>
      </c>
      <c r="P87" s="68">
        <f>SUM('RGPS_Valor Acumulado'!AC62:AC63)/1000</f>
        <v>9.3004096846640766E-2</v>
      </c>
      <c r="Q87" s="18"/>
    </row>
    <row r="88" spans="3:17" ht="16.5" customHeight="1">
      <c r="C88" s="192" t="s">
        <v>157</v>
      </c>
      <c r="D88" s="19">
        <f>D87/D$75</f>
        <v>5.2437092690596986E-4</v>
      </c>
      <c r="E88" s="19">
        <f t="shared" ref="E88:P88" si="14">E87/E$75</f>
        <v>5.6727562851877523E-4</v>
      </c>
      <c r="F88" s="19">
        <f t="shared" si="14"/>
        <v>6.1763062288211837E-4</v>
      </c>
      <c r="G88" s="19">
        <f t="shared" si="14"/>
        <v>6.7613367101452312E-4</v>
      </c>
      <c r="H88" s="19">
        <f t="shared" si="14"/>
        <v>7.8459297589111453E-4</v>
      </c>
      <c r="I88" s="19">
        <f t="shared" si="14"/>
        <v>8.6248360773561003E-4</v>
      </c>
      <c r="J88" s="19">
        <f t="shared" si="14"/>
        <v>9.1667853959326979E-4</v>
      </c>
      <c r="K88" s="19">
        <f t="shared" si="14"/>
        <v>9.5363446625752117E-4</v>
      </c>
      <c r="L88" s="19">
        <f t="shared" si="14"/>
        <v>1.0125913011025253E-3</v>
      </c>
      <c r="M88" s="19">
        <f t="shared" si="14"/>
        <v>1.0784063123410973E-3</v>
      </c>
      <c r="N88" s="19">
        <f t="shared" si="14"/>
        <v>1.1268446091234536E-3</v>
      </c>
      <c r="O88" s="19">
        <f t="shared" si="14"/>
        <v>1.1745524162287497E-3</v>
      </c>
      <c r="P88" s="19">
        <f t="shared" si="14"/>
        <v>1.2171165826066271E-3</v>
      </c>
      <c r="Q88" s="18"/>
    </row>
    <row r="89" spans="3:17" ht="16.5" customHeight="1">
      <c r="C89" s="50" t="s">
        <v>25</v>
      </c>
      <c r="D89" s="68">
        <f>SUM('RGPS_Valor Acumulado'!Q64:Q65)/1000</f>
        <v>5.0868204927173227E-2</v>
      </c>
      <c r="E89" s="68">
        <f>SUM('RGPS_Valor Acumulado'!R64:R65)/1000</f>
        <v>5.7981229915247394E-2</v>
      </c>
      <c r="F89" s="68">
        <f>SUM('RGPS_Valor Acumulado'!S64:S65)/1000</f>
        <v>5.5738675098812099E-2</v>
      </c>
      <c r="G89" s="68">
        <f>SUM('RGPS_Valor Acumulado'!T64:T65)/1000</f>
        <v>5.5574149088113124E-2</v>
      </c>
      <c r="H89" s="68">
        <f>SUM('RGPS_Valor Acumulado'!U64:U65)/1000</f>
        <v>6.5570382395840024E-2</v>
      </c>
      <c r="I89" s="68">
        <f>SUM('RGPS_Valor Acumulado'!V64:V65)/1000</f>
        <v>6.7965754583902305E-2</v>
      </c>
      <c r="J89" s="68">
        <f>SUM('RGPS_Valor Acumulado'!W64:W65)/1000</f>
        <v>7.6504512135356834E-2</v>
      </c>
      <c r="K89" s="68">
        <f>SUM('RGPS_Valor Acumulado'!X64:X65)/1000</f>
        <v>0.10126032241738514</v>
      </c>
      <c r="L89" s="68">
        <f>SUM('RGPS_Valor Acumulado'!Y64:Y65)/1000</f>
        <v>0.10842670295231192</v>
      </c>
      <c r="M89" s="68">
        <f>SUM('RGPS_Valor Acumulado'!Z64:Z65)/1000</f>
        <v>0.11077070869624188</v>
      </c>
      <c r="N89" s="68">
        <f>SUM('RGPS_Valor Acumulado'!AA64:AA65)/1000</f>
        <v>0.11374438465194862</v>
      </c>
      <c r="O89" s="68">
        <f>SUM('RGPS_Valor Acumulado'!AB64:AB65)/1000</f>
        <v>0.12830703849231434</v>
      </c>
      <c r="P89" s="68">
        <f>SUM('RGPS_Valor Acumulado'!AC64:AC65)/1000</f>
        <v>0.12987032998524234</v>
      </c>
      <c r="Q89" s="18"/>
    </row>
    <row r="90" spans="3:17" ht="16.5" customHeight="1">
      <c r="C90" s="194" t="s">
        <v>157</v>
      </c>
      <c r="D90" s="23">
        <f>D89/D$75</f>
        <v>3.1166372230248054E-3</v>
      </c>
      <c r="E90" s="23">
        <f t="shared" ref="E90:P90" si="15">E89/E$75</f>
        <v>2.9130829899171769E-3</v>
      </c>
      <c r="F90" s="23">
        <f t="shared" si="15"/>
        <v>2.4801199117243061E-3</v>
      </c>
      <c r="G90" s="23">
        <f t="shared" si="15"/>
        <v>2.1646827205107134E-3</v>
      </c>
      <c r="H90" s="23">
        <f t="shared" si="15"/>
        <v>2.1934074785015653E-3</v>
      </c>
      <c r="I90" s="23">
        <f t="shared" si="15"/>
        <v>2.0491147829642901E-3</v>
      </c>
      <c r="J90" s="23">
        <f t="shared" si="15"/>
        <v>2.0554373063274485E-3</v>
      </c>
      <c r="K90" s="23">
        <f t="shared" si="15"/>
        <v>2.3229253490901053E-3</v>
      </c>
      <c r="L90" s="23">
        <f t="shared" si="15"/>
        <v>2.2100368936799021E-3</v>
      </c>
      <c r="M90" s="23">
        <f t="shared" si="15"/>
        <v>2.0785932336567147E-3</v>
      </c>
      <c r="N90" s="23">
        <f t="shared" si="15"/>
        <v>1.8291053481142891E-3</v>
      </c>
      <c r="O90" s="23">
        <f t="shared" si="15"/>
        <v>1.8433435854271019E-3</v>
      </c>
      <c r="P90" s="23">
        <f t="shared" si="15"/>
        <v>1.6995738636576242E-3</v>
      </c>
      <c r="Q90" s="18"/>
    </row>
    <row r="91" spans="3:17" ht="16.5" customHeight="1">
      <c r="C91" s="18" t="s">
        <v>62</v>
      </c>
      <c r="Q91" s="18"/>
    </row>
    <row r="92" spans="3:17" ht="16.5" customHeight="1">
      <c r="C92" s="18"/>
      <c r="Q92" s="18"/>
    </row>
    <row r="93" spans="3:17" s="37" customFormat="1" ht="24.75" customHeight="1">
      <c r="C93" s="40" t="s">
        <v>282</v>
      </c>
      <c r="D93" s="39"/>
      <c r="E93" s="39"/>
      <c r="F93" s="39"/>
      <c r="G93" s="39"/>
      <c r="H93" s="39"/>
      <c r="I93" s="39"/>
      <c r="J93" s="39"/>
      <c r="K93" s="39"/>
      <c r="L93" s="39"/>
      <c r="M93" s="39"/>
      <c r="N93" s="39"/>
      <c r="O93" s="39"/>
      <c r="P93" s="39"/>
      <c r="Q93" s="18"/>
    </row>
    <row r="94" spans="3:17" s="34" customFormat="1" ht="35.25" customHeight="1">
      <c r="C94" s="32"/>
      <c r="D94" s="33">
        <v>2002</v>
      </c>
      <c r="E94" s="33">
        <v>2003</v>
      </c>
      <c r="F94" s="33">
        <v>2004</v>
      </c>
      <c r="G94" s="33">
        <v>2005</v>
      </c>
      <c r="H94" s="33">
        <v>2006</v>
      </c>
      <c r="I94" s="33">
        <v>2007</v>
      </c>
      <c r="J94" s="33">
        <v>2008</v>
      </c>
      <c r="K94" s="33">
        <v>2009</v>
      </c>
      <c r="L94" s="33">
        <v>2010</v>
      </c>
      <c r="M94" s="33">
        <v>2011</v>
      </c>
      <c r="N94" s="33">
        <v>2012</v>
      </c>
      <c r="O94" s="33">
        <v>2013</v>
      </c>
      <c r="P94" s="33">
        <v>2014</v>
      </c>
      <c r="Q94" s="18"/>
    </row>
    <row r="95" spans="3:17" ht="16.5" customHeight="1">
      <c r="C95" s="53" t="s">
        <v>55</v>
      </c>
      <c r="D95" s="66">
        <f>D68</f>
        <v>29.267641230087388</v>
      </c>
      <c r="E95" s="66">
        <f t="shared" ref="E95:P95" si="16">E68</f>
        <v>35.758310988658025</v>
      </c>
      <c r="F95" s="66">
        <f t="shared" si="16"/>
        <v>41.951900933876544</v>
      </c>
      <c r="G95" s="66">
        <f t="shared" si="16"/>
        <v>49.188014899370536</v>
      </c>
      <c r="H95" s="66">
        <f t="shared" si="16"/>
        <v>57.653339550682858</v>
      </c>
      <c r="I95" s="66">
        <f t="shared" si="16"/>
        <v>64.131590631368667</v>
      </c>
      <c r="J95" s="66">
        <f t="shared" si="16"/>
        <v>71.728919978086026</v>
      </c>
      <c r="K95" s="66">
        <f t="shared" si="16"/>
        <v>83.908589091721808</v>
      </c>
      <c r="L95" s="66">
        <f t="shared" si="16"/>
        <v>94.952337731141043</v>
      </c>
      <c r="M95" s="66">
        <f t="shared" si="16"/>
        <v>104.95486322391673</v>
      </c>
      <c r="N95" s="66">
        <f t="shared" si="16"/>
        <v>123.54300009593611</v>
      </c>
      <c r="O95" s="66">
        <f t="shared" si="16"/>
        <v>139.61580946367107</v>
      </c>
      <c r="P95" s="66">
        <f t="shared" si="16"/>
        <v>160.43045567236413</v>
      </c>
      <c r="Q95" s="18"/>
    </row>
    <row r="96" spans="3:17" ht="16.5" customHeight="1">
      <c r="C96" s="64" t="s">
        <v>157</v>
      </c>
      <c r="D96" s="19">
        <f>D95/D$95</f>
        <v>1</v>
      </c>
      <c r="E96" s="19">
        <f t="shared" ref="E96:P96" si="17">E95/E$95</f>
        <v>1</v>
      </c>
      <c r="F96" s="19">
        <f t="shared" si="17"/>
        <v>1</v>
      </c>
      <c r="G96" s="19">
        <f t="shared" si="17"/>
        <v>1</v>
      </c>
      <c r="H96" s="19">
        <f t="shared" si="17"/>
        <v>1</v>
      </c>
      <c r="I96" s="19">
        <f t="shared" si="17"/>
        <v>1</v>
      </c>
      <c r="J96" s="19">
        <f t="shared" si="17"/>
        <v>1</v>
      </c>
      <c r="K96" s="19">
        <f t="shared" si="17"/>
        <v>1</v>
      </c>
      <c r="L96" s="19">
        <f t="shared" si="17"/>
        <v>1</v>
      </c>
      <c r="M96" s="19">
        <f t="shared" si="17"/>
        <v>1</v>
      </c>
      <c r="N96" s="19">
        <f t="shared" si="17"/>
        <v>1</v>
      </c>
      <c r="O96" s="19">
        <f t="shared" si="17"/>
        <v>1</v>
      </c>
      <c r="P96" s="19">
        <f t="shared" si="17"/>
        <v>1</v>
      </c>
      <c r="Q96" s="18"/>
    </row>
    <row r="97" spans="3:17" ht="16.5" customHeight="1">
      <c r="C97" s="48" t="s">
        <v>53</v>
      </c>
      <c r="D97" s="76">
        <f>SUM('RGPS_Valor Acumulado'!D52:D53)/1000</f>
        <v>8.5826868343931082</v>
      </c>
      <c r="E97" s="76">
        <f>SUM('RGPS_Valor Acumulado'!E52:E53)/1000</f>
        <v>10.148093961841951</v>
      </c>
      <c r="F97" s="76">
        <f>SUM('RGPS_Valor Acumulado'!F52:F53)/1000</f>
        <v>11.652744006418352</v>
      </c>
      <c r="G97" s="76">
        <f>SUM('RGPS_Valor Acumulado'!G52:G53)/1000</f>
        <v>13.339122725160054</v>
      </c>
      <c r="H97" s="76">
        <f>SUM('RGPS_Valor Acumulado'!H52:H53)/1000</f>
        <v>15.70491302595368</v>
      </c>
      <c r="I97" s="76">
        <f>SUM('RGPS_Valor Acumulado'!I52:I53)/1000</f>
        <v>17.508591634384754</v>
      </c>
      <c r="J97" s="76">
        <f>SUM('RGPS_Valor Acumulado'!J52:J53)/1000</f>
        <v>19.990366921692882</v>
      </c>
      <c r="K97" s="76">
        <f>SUM('RGPS_Valor Acumulado'!K52:K53)/1000</f>
        <v>23.759049271199522</v>
      </c>
      <c r="L97" s="76">
        <f>SUM('RGPS_Valor Acumulado'!L52:L53)/1000</f>
        <v>27.078121663168822</v>
      </c>
      <c r="M97" s="76">
        <f>SUM('RGPS_Valor Acumulado'!M52:M53)/1000</f>
        <v>29.938169882564228</v>
      </c>
      <c r="N97" s="76">
        <f>SUM('RGPS_Valor Acumulado'!N52:N53)/1000</f>
        <v>35.430946224109789</v>
      </c>
      <c r="O97" s="76">
        <f>SUM('RGPS_Valor Acumulado'!O52:O53)/1000</f>
        <v>40.045805023840877</v>
      </c>
      <c r="P97" s="76">
        <f>SUM('RGPS_Valor Acumulado'!P52:P53)/1000</f>
        <v>50.196828598847098</v>
      </c>
      <c r="Q97" s="18"/>
    </row>
    <row r="98" spans="3:17" ht="16.5" customHeight="1">
      <c r="C98" s="192" t="s">
        <v>157</v>
      </c>
      <c r="D98" s="19">
        <f>D97/D$95</f>
        <v>0.29324832728815986</v>
      </c>
      <c r="E98" s="19">
        <f t="shared" ref="E98:P98" si="18">E97/E$95</f>
        <v>0.28379679244527983</v>
      </c>
      <c r="F98" s="19">
        <f t="shared" si="18"/>
        <v>0.27776438604737108</v>
      </c>
      <c r="G98" s="19">
        <f t="shared" si="18"/>
        <v>0.27118644150306537</v>
      </c>
      <c r="H98" s="19">
        <f t="shared" si="18"/>
        <v>0.27240248610659479</v>
      </c>
      <c r="I98" s="19">
        <f t="shared" si="18"/>
        <v>0.27301040660327519</v>
      </c>
      <c r="J98" s="19">
        <f t="shared" si="18"/>
        <v>0.27869326525200938</v>
      </c>
      <c r="K98" s="19">
        <f t="shared" si="18"/>
        <v>0.28315395990305747</v>
      </c>
      <c r="L98" s="19">
        <f t="shared" si="18"/>
        <v>0.28517593468673647</v>
      </c>
      <c r="M98" s="19">
        <f t="shared" si="18"/>
        <v>0.28524804818898591</v>
      </c>
      <c r="N98" s="19">
        <f t="shared" si="18"/>
        <v>0.28679039845718685</v>
      </c>
      <c r="O98" s="19">
        <f t="shared" si="18"/>
        <v>0.28682858465438366</v>
      </c>
      <c r="P98" s="19">
        <f t="shared" si="18"/>
        <v>0.3128884000763581</v>
      </c>
      <c r="Q98" s="18"/>
    </row>
    <row r="99" spans="3:17" ht="16.5" customHeight="1">
      <c r="C99" s="48" t="s">
        <v>48</v>
      </c>
      <c r="D99" s="76">
        <f>SUM('RGPS_Valor Acumulado'!D54:D55)/1000</f>
        <v>4.0848905775200715</v>
      </c>
      <c r="E99" s="76">
        <f>SUM('RGPS_Valor Acumulado'!E54:E55)/1000</f>
        <v>5.0240583643121575</v>
      </c>
      <c r="F99" s="76">
        <f>SUM('RGPS_Valor Acumulado'!F54:F55)/1000</f>
        <v>6.1130124790143308</v>
      </c>
      <c r="G99" s="76">
        <f>SUM('RGPS_Valor Acumulado'!G54:G55)/1000</f>
        <v>7.35943585775924</v>
      </c>
      <c r="H99" s="76">
        <f>SUM('RGPS_Valor Acumulado'!H54:H55)/1000</f>
        <v>8.896450111851486</v>
      </c>
      <c r="I99" s="76">
        <f>SUM('RGPS_Valor Acumulado'!I54:I55)/1000</f>
        <v>10.066810840395821</v>
      </c>
      <c r="J99" s="76">
        <f>SUM('RGPS_Valor Acumulado'!J54:J55)/1000</f>
        <v>11.58550855705608</v>
      </c>
      <c r="K99" s="76">
        <f>SUM('RGPS_Valor Acumulado'!K54:K55)/1000</f>
        <v>13.988552284510028</v>
      </c>
      <c r="L99" s="76">
        <f>SUM('RGPS_Valor Acumulado'!L54:L55)/1000</f>
        <v>16.223359444293276</v>
      </c>
      <c r="M99" s="76">
        <f>SUM('RGPS_Valor Acumulado'!M54:M55)/1000</f>
        <v>18.088099871990114</v>
      </c>
      <c r="N99" s="76">
        <f>SUM('RGPS_Valor Acumulado'!N54:N55)/1000</f>
        <v>21.78621569757253</v>
      </c>
      <c r="O99" s="76">
        <f>SUM('RGPS_Valor Acumulado'!O54:O55)/1000</f>
        <v>25.222090554254802</v>
      </c>
      <c r="P99" s="76">
        <f>SUM('RGPS_Valor Acumulado'!P54:P55)/1000</f>
        <v>28.603891530888472</v>
      </c>
      <c r="Q99" s="18"/>
    </row>
    <row r="100" spans="3:17" ht="16.5" customHeight="1">
      <c r="C100" s="192" t="s">
        <v>157</v>
      </c>
      <c r="D100" s="19">
        <f>D99/D$95</f>
        <v>0.13957020128156991</v>
      </c>
      <c r="E100" s="19">
        <f t="shared" ref="E100:P100" si="19">E99/E$95</f>
        <v>0.14050043823114883</v>
      </c>
      <c r="F100" s="19">
        <f t="shared" si="19"/>
        <v>0.14571479105677468</v>
      </c>
      <c r="G100" s="19">
        <f t="shared" si="19"/>
        <v>0.14961847663125391</v>
      </c>
      <c r="H100" s="19">
        <f t="shared" si="19"/>
        <v>0.15430936319015218</v>
      </c>
      <c r="I100" s="19">
        <f t="shared" si="19"/>
        <v>0.15697117039027322</v>
      </c>
      <c r="J100" s="19">
        <f t="shared" si="19"/>
        <v>0.16151795622456858</v>
      </c>
      <c r="K100" s="19">
        <f t="shared" si="19"/>
        <v>0.16671180430907878</v>
      </c>
      <c r="L100" s="19">
        <f t="shared" si="19"/>
        <v>0.17085792548078133</v>
      </c>
      <c r="M100" s="19">
        <f t="shared" si="19"/>
        <v>0.17234170305572141</v>
      </c>
      <c r="N100" s="19">
        <f t="shared" si="19"/>
        <v>0.17634520515654192</v>
      </c>
      <c r="O100" s="19">
        <f t="shared" si="19"/>
        <v>0.18065354239712911</v>
      </c>
      <c r="P100" s="19">
        <f t="shared" si="19"/>
        <v>0.17829464742844209</v>
      </c>
      <c r="Q100" s="18"/>
    </row>
    <row r="101" spans="3:17" ht="16.5" customHeight="1">
      <c r="C101" s="48" t="s">
        <v>23</v>
      </c>
      <c r="D101" s="76">
        <f>SUM('RGPS_Valor Acumulado'!D56:D57)/1000</f>
        <v>4.9383339583028496</v>
      </c>
      <c r="E101" s="76">
        <f>SUM('RGPS_Valor Acumulado'!E56:E57)/1000</f>
        <v>5.9984434972633762</v>
      </c>
      <c r="F101" s="76">
        <f>SUM('RGPS_Valor Acumulado'!F56:F57)/1000</f>
        <v>6.9017847849671217</v>
      </c>
      <c r="G101" s="76">
        <f>SUM('RGPS_Valor Acumulado'!G56:G57)/1000</f>
        <v>8.0293117208549525</v>
      </c>
      <c r="H101" s="76">
        <f>SUM('RGPS_Valor Acumulado'!H56:H57)/1000</f>
        <v>9.6889036357132738</v>
      </c>
      <c r="I101" s="76">
        <f>SUM('RGPS_Valor Acumulado'!I56:I57)/1000</f>
        <v>10.539406333915839</v>
      </c>
      <c r="J101" s="76">
        <f>SUM('RGPS_Valor Acumulado'!J56:J57)/1000</f>
        <v>11.867649862755364</v>
      </c>
      <c r="K101" s="76">
        <f>SUM('RGPS_Valor Acumulado'!K56:K57)/1000</f>
        <v>13.884165390184295</v>
      </c>
      <c r="L101" s="76">
        <f>SUM('RGPS_Valor Acumulado'!L56:L57)/1000</f>
        <v>15.535294568858426</v>
      </c>
      <c r="M101" s="76">
        <f>SUM('RGPS_Valor Acumulado'!M56:M57)/1000</f>
        <v>16.786409439778893</v>
      </c>
      <c r="N101" s="76">
        <f>SUM('RGPS_Valor Acumulado'!N56:N57)/1000</f>
        <v>19.504065179609125</v>
      </c>
      <c r="O101" s="76">
        <f>SUM('RGPS_Valor Acumulado'!O56:O57)/1000</f>
        <v>21.663059113030197</v>
      </c>
      <c r="P101" s="76">
        <f>SUM('RGPS_Valor Acumulado'!P56:P57)/1000</f>
        <v>23.646159486521778</v>
      </c>
      <c r="Q101" s="18"/>
    </row>
    <row r="102" spans="3:17" ht="16.5" customHeight="1">
      <c r="C102" s="192" t="s">
        <v>157</v>
      </c>
      <c r="D102" s="19">
        <f>D101/D$95</f>
        <v>0.16873016583332309</v>
      </c>
      <c r="E102" s="19">
        <f t="shared" ref="E102:P102" si="20">E101/E$95</f>
        <v>0.16774963166369877</v>
      </c>
      <c r="F102" s="19">
        <f t="shared" si="20"/>
        <v>0.16451661620400776</v>
      </c>
      <c r="G102" s="19">
        <f t="shared" si="20"/>
        <v>0.16323715720753154</v>
      </c>
      <c r="H102" s="19">
        <f t="shared" si="20"/>
        <v>0.16805450839835204</v>
      </c>
      <c r="I102" s="19">
        <f t="shared" si="20"/>
        <v>0.16434032323471956</v>
      </c>
      <c r="J102" s="19">
        <f t="shared" si="20"/>
        <v>0.16545139486808197</v>
      </c>
      <c r="K102" s="19">
        <f t="shared" si="20"/>
        <v>0.16546774937434944</v>
      </c>
      <c r="L102" s="19">
        <f t="shared" si="20"/>
        <v>0.16361150172886574</v>
      </c>
      <c r="M102" s="19">
        <f t="shared" si="20"/>
        <v>0.159939319857583</v>
      </c>
      <c r="N102" s="19">
        <f t="shared" si="20"/>
        <v>0.1578726853359837</v>
      </c>
      <c r="O102" s="19">
        <f t="shared" si="20"/>
        <v>0.1551619347138983</v>
      </c>
      <c r="P102" s="19">
        <f t="shared" si="20"/>
        <v>0.14739196112995323</v>
      </c>
      <c r="Q102" s="18"/>
    </row>
    <row r="103" spans="3:17" ht="16.5" customHeight="1">
      <c r="C103" s="48" t="s">
        <v>24</v>
      </c>
      <c r="D103" s="76">
        <f>SUM('RGPS_Valor Acumulado'!D58:D59)/1000</f>
        <v>9.1377819373986497</v>
      </c>
      <c r="E103" s="76">
        <f>SUM('RGPS_Valor Acumulado'!E58:E59)/1000</f>
        <v>10.966454865286044</v>
      </c>
      <c r="F103" s="76">
        <f>SUM('RGPS_Valor Acumulado'!F58:F59)/1000</f>
        <v>12.577961464079111</v>
      </c>
      <c r="G103" s="76">
        <f>SUM('RGPS_Valor Acumulado'!G58:G59)/1000</f>
        <v>14.307426030622318</v>
      </c>
      <c r="H103" s="76">
        <f>SUM('RGPS_Valor Acumulado'!H58:H59)/1000</f>
        <v>16.738393210504476</v>
      </c>
      <c r="I103" s="76">
        <f>SUM('RGPS_Valor Acumulado'!I58:I59)/1000</f>
        <v>18.523613938241965</v>
      </c>
      <c r="J103" s="76">
        <f>SUM('RGPS_Valor Acumulado'!J58:J59)/1000</f>
        <v>20.836722301861371</v>
      </c>
      <c r="K103" s="76">
        <f>SUM('RGPS_Valor Acumulado'!K58:K59)/1000</f>
        <v>24.256550349326602</v>
      </c>
      <c r="L103" s="76">
        <f>SUM('RGPS_Valor Acumulado'!L58:L59)/1000</f>
        <v>27.27923480667847</v>
      </c>
      <c r="M103" s="76">
        <f>SUM('RGPS_Valor Acumulado'!M58:M59)/1000</f>
        <v>29.651152252403531</v>
      </c>
      <c r="N103" s="76">
        <f>SUM('RGPS_Valor Acumulado'!N58:N59)/1000</f>
        <v>34.537185558114281</v>
      </c>
      <c r="O103" s="76">
        <f>SUM('RGPS_Valor Acumulado'!O58:O59)/1000</f>
        <v>38.46845624824487</v>
      </c>
      <c r="P103" s="76">
        <f>SUM('RGPS_Valor Acumulado'!P58:P59)/1000</f>
        <v>42.080972308692473</v>
      </c>
      <c r="Q103" s="18"/>
    </row>
    <row r="104" spans="3:17" ht="16.5" customHeight="1">
      <c r="C104" s="192" t="s">
        <v>157</v>
      </c>
      <c r="D104" s="19">
        <f>D103/D$95</f>
        <v>0.31221449878936369</v>
      </c>
      <c r="E104" s="19">
        <f t="shared" ref="E104:P104" si="21">E103/E$95</f>
        <v>0.30668268612475663</v>
      </c>
      <c r="F104" s="19">
        <f t="shared" si="21"/>
        <v>0.29981863000449382</v>
      </c>
      <c r="G104" s="19">
        <f t="shared" si="21"/>
        <v>0.29087219843883988</v>
      </c>
      <c r="H104" s="19">
        <f t="shared" si="21"/>
        <v>0.29032825055675759</v>
      </c>
      <c r="I104" s="19">
        <f t="shared" si="21"/>
        <v>0.28883758777661622</v>
      </c>
      <c r="J104" s="19">
        <f t="shared" si="21"/>
        <v>0.29049262568329787</v>
      </c>
      <c r="K104" s="19">
        <f t="shared" si="21"/>
        <v>0.28908304396360879</v>
      </c>
      <c r="L104" s="19">
        <f t="shared" si="21"/>
        <v>0.2872939777840966</v>
      </c>
      <c r="M104" s="19">
        <f t="shared" si="21"/>
        <v>0.2825133713827444</v>
      </c>
      <c r="N104" s="19">
        <f t="shared" si="21"/>
        <v>0.27955598885646915</v>
      </c>
      <c r="O104" s="19">
        <f t="shared" si="21"/>
        <v>0.27553080411179803</v>
      </c>
      <c r="P104" s="19">
        <f t="shared" si="21"/>
        <v>0.26230039759178575</v>
      </c>
      <c r="Q104" s="18"/>
    </row>
    <row r="105" spans="3:17" ht="16.5" customHeight="1">
      <c r="C105" s="48" t="s">
        <v>49</v>
      </c>
      <c r="D105" s="76">
        <f>SUM('RGPS_Valor Acumulado'!D60:D61)/1000</f>
        <v>1.7459304823546937</v>
      </c>
      <c r="E105" s="76">
        <f>SUM('RGPS_Valor Acumulado'!E60:E61)/1000</f>
        <v>2.6212072783759282</v>
      </c>
      <c r="F105" s="76">
        <f>SUM('RGPS_Valor Acumulado'!F60:F61)/1000</f>
        <v>3.8944680390291784</v>
      </c>
      <c r="G105" s="76">
        <f>SUM('RGPS_Valor Acumulado'!G60:G61)/1000</f>
        <v>5.217114724896974</v>
      </c>
      <c r="H105" s="76">
        <f>SUM('RGPS_Valor Acumulado'!H60:H61)/1000</f>
        <v>5.540083613466364</v>
      </c>
      <c r="I105" s="76">
        <f>SUM('RGPS_Valor Acumulado'!I60:I61)/1000</f>
        <v>6.3030048228601601</v>
      </c>
      <c r="J105" s="76">
        <f>SUM('RGPS_Valor Acumulado'!J60:J61)/1000</f>
        <v>6.0997612536953287</v>
      </c>
      <c r="K105" s="76">
        <f>SUM('RGPS_Valor Acumulado'!K60:K61)/1000</f>
        <v>6.4324028190323412</v>
      </c>
      <c r="L105" s="76">
        <f>SUM('RGPS_Valor Acumulado'!L60:L61)/1000</f>
        <v>6.9971790580286308</v>
      </c>
      <c r="M105" s="76">
        <f>SUM('RGPS_Valor Acumulado'!M60:M61)/1000</f>
        <v>8.415511466400952</v>
      </c>
      <c r="N105" s="76">
        <f>SUM('RGPS_Valor Acumulado'!N60:N61)/1000</f>
        <v>9.824432618116596</v>
      </c>
      <c r="O105" s="76">
        <f>SUM('RGPS_Valor Acumulado'!O60:O61)/1000</f>
        <v>11.34555912082746</v>
      </c>
      <c r="P105" s="76">
        <f>SUM('RGPS_Valor Acumulado'!P60:P61)/1000</f>
        <v>12.716883918741976</v>
      </c>
      <c r="Q105" s="18"/>
    </row>
    <row r="106" spans="3:17" ht="16.5" customHeight="1">
      <c r="C106" s="192" t="s">
        <v>157</v>
      </c>
      <c r="D106" s="19">
        <f>D105/D$95</f>
        <v>5.9653952589792648E-2</v>
      </c>
      <c r="E106" s="19">
        <f t="shared" ref="E106:P106" si="22">E105/E$95</f>
        <v>7.3303442078327855E-2</v>
      </c>
      <c r="F106" s="19">
        <f t="shared" si="22"/>
        <v>9.2831741883819138E-2</v>
      </c>
      <c r="G106" s="19">
        <f t="shared" si="22"/>
        <v>0.10606475450514141</v>
      </c>
      <c r="H106" s="19">
        <f t="shared" si="22"/>
        <v>9.6093021785773489E-2</v>
      </c>
      <c r="I106" s="19">
        <f t="shared" si="22"/>
        <v>9.8282371617602962E-2</v>
      </c>
      <c r="J106" s="19">
        <f t="shared" si="22"/>
        <v>8.5039078457599435E-2</v>
      </c>
      <c r="K106" s="19">
        <f t="shared" si="22"/>
        <v>7.6659646987997612E-2</v>
      </c>
      <c r="L106" s="19">
        <f t="shared" si="22"/>
        <v>7.3691488016242923E-2</v>
      </c>
      <c r="M106" s="19">
        <f t="shared" si="22"/>
        <v>8.0182196497620289E-2</v>
      </c>
      <c r="N106" s="19">
        <f t="shared" si="22"/>
        <v>7.9522373671414237E-2</v>
      </c>
      <c r="O106" s="19">
        <f t="shared" si="22"/>
        <v>8.126271060856935E-2</v>
      </c>
      <c r="P106" s="19">
        <f t="shared" si="22"/>
        <v>7.9267267960098406E-2</v>
      </c>
      <c r="Q106" s="18"/>
    </row>
    <row r="107" spans="3:17" ht="16.5" customHeight="1">
      <c r="C107" s="48" t="s">
        <v>50</v>
      </c>
      <c r="D107" s="76">
        <f>SUM('RGPS_Valor Acumulado'!D62:D63)/1000</f>
        <v>0.45173877669518891</v>
      </c>
      <c r="E107" s="76">
        <f>SUM('RGPS_Valor Acumulado'!E62:E63)/1000</f>
        <v>0.5392609095901455</v>
      </c>
      <c r="F107" s="76">
        <f>SUM('RGPS_Valor Acumulado'!F62:F63)/1000</f>
        <v>0.61538089039426513</v>
      </c>
      <c r="G107" s="76">
        <f>SUM('RGPS_Valor Acumulado'!G62:G63)/1000</f>
        <v>0.70510897981604082</v>
      </c>
      <c r="H107" s="76">
        <f>SUM('RGPS_Valor Acumulado'!H62:H63)/1000</f>
        <v>0.81910370429348101</v>
      </c>
      <c r="I107" s="76">
        <f>SUM('RGPS_Valor Acumulado'!I62:I63)/1000</f>
        <v>0.89843186044791312</v>
      </c>
      <c r="J107" s="76">
        <f>SUM('RGPS_Valor Acumulado'!J62:J63)/1000</f>
        <v>0.99467146062974765</v>
      </c>
      <c r="K107" s="76">
        <f>SUM('RGPS_Valor Acumulado'!K62:K63)/1000</f>
        <v>1.1340463370717306</v>
      </c>
      <c r="L107" s="76">
        <f>SUM('RGPS_Valor Acumulado'!L62:L63)/1000</f>
        <v>1.2897273760845929</v>
      </c>
      <c r="M107" s="76">
        <f>SUM('RGPS_Valor Acumulado'!M62:M63)/1000</f>
        <v>1.4380831516796726</v>
      </c>
      <c r="N107" s="76">
        <f>SUM('RGPS_Valor Acumulado'!N62:N63)/1000</f>
        <v>1.6881469076673294</v>
      </c>
      <c r="O107" s="76">
        <f>SUM('RGPS_Valor Acumulado'!O62:O63)/1000</f>
        <v>1.926093346683698</v>
      </c>
      <c r="P107" s="76">
        <f>SUM('RGPS_Valor Acumulado'!P62:P63)/1000</f>
        <v>2.1907485590772731</v>
      </c>
      <c r="Q107" s="18"/>
    </row>
    <row r="108" spans="3:17" ht="16.5" customHeight="1">
      <c r="C108" s="192" t="s">
        <v>157</v>
      </c>
      <c r="D108" s="19">
        <f>D107/D$95</f>
        <v>1.5434751750024787E-2</v>
      </c>
      <c r="E108" s="19">
        <f t="shared" ref="E108:P108" si="23">E107/E$95</f>
        <v>1.5080715354849691E-2</v>
      </c>
      <c r="F108" s="19">
        <f t="shared" si="23"/>
        <v>1.4668724818077062E-2</v>
      </c>
      <c r="G108" s="19">
        <f t="shared" si="23"/>
        <v>1.4334975323939413E-2</v>
      </c>
      <c r="H108" s="19">
        <f t="shared" si="23"/>
        <v>1.4207393893868188E-2</v>
      </c>
      <c r="I108" s="19">
        <f t="shared" si="23"/>
        <v>1.4009193466167724E-2</v>
      </c>
      <c r="J108" s="19">
        <f t="shared" si="23"/>
        <v>1.3867090999468984E-2</v>
      </c>
      <c r="K108" s="19">
        <f t="shared" si="23"/>
        <v>1.3515259276164048E-2</v>
      </c>
      <c r="L108" s="19">
        <f t="shared" si="23"/>
        <v>1.3582892289987374E-2</v>
      </c>
      <c r="M108" s="19">
        <f t="shared" si="23"/>
        <v>1.370192011599866E-2</v>
      </c>
      <c r="N108" s="19">
        <f t="shared" si="23"/>
        <v>1.3664448057408476E-2</v>
      </c>
      <c r="O108" s="19">
        <f t="shared" si="23"/>
        <v>1.3795667941064224E-2</v>
      </c>
      <c r="P108" s="19">
        <f t="shared" si="23"/>
        <v>1.3655440607556992E-2</v>
      </c>
      <c r="Q108" s="18"/>
    </row>
    <row r="109" spans="3:17" ht="16.5" customHeight="1">
      <c r="C109" s="48" t="s">
        <v>25</v>
      </c>
      <c r="D109" s="76">
        <f>SUM('RGPS_Valor Acumulado'!D64:D65)/1000</f>
        <v>0.3262786634228283</v>
      </c>
      <c r="E109" s="76">
        <f>SUM('RGPS_Valor Acumulado'!E64:E65)/1000</f>
        <v>0.46079211198842346</v>
      </c>
      <c r="F109" s="76">
        <f>SUM('RGPS_Valor Acumulado'!F64:F65)/1000</f>
        <v>0.1965492699741824</v>
      </c>
      <c r="G109" s="76">
        <f>SUM('RGPS_Valor Acumulado'!G64:G65)/1000</f>
        <v>0.2304948602609532</v>
      </c>
      <c r="H109" s="76">
        <f>SUM('RGPS_Valor Acumulado'!H64:H65)/1000</f>
        <v>0.26549224890010659</v>
      </c>
      <c r="I109" s="76">
        <f>SUM('RGPS_Valor Acumulado'!I64:I65)/1000</f>
        <v>0.29173120112221151</v>
      </c>
      <c r="J109" s="76">
        <f>SUM('RGPS_Valor Acumulado'!J64:J65)/1000</f>
        <v>0.35423962039523105</v>
      </c>
      <c r="K109" s="76">
        <f>SUM('RGPS_Valor Acumulado'!K64:K65)/1000</f>
        <v>0.45382264039728964</v>
      </c>
      <c r="L109" s="76">
        <f>SUM('RGPS_Valor Acumulado'!L64:L65)/1000</f>
        <v>0.54942081402883125</v>
      </c>
      <c r="M109" s="76">
        <f>SUM('RGPS_Valor Acumulado'!M64:M65)/1000</f>
        <v>0.63743715909934773</v>
      </c>
      <c r="N109" s="76">
        <f>SUM('RGPS_Valor Acumulado'!N64:N65)/1000</f>
        <v>0.77200791074644926</v>
      </c>
      <c r="O109" s="76">
        <f>SUM('RGPS_Valor Acumulado'!O64:O65)/1000</f>
        <v>0.94474605678915391</v>
      </c>
      <c r="P109" s="76">
        <f>SUM('RGPS_Valor Acumulado'!P64:P65)/1000</f>
        <v>0.99497126959506776</v>
      </c>
      <c r="Q109" s="18"/>
    </row>
    <row r="110" spans="3:17" ht="16.5" customHeight="1">
      <c r="C110" s="194" t="s">
        <v>157</v>
      </c>
      <c r="D110" s="23">
        <f>D109/D$95</f>
        <v>1.1148102467766039E-2</v>
      </c>
      <c r="E110" s="23">
        <f t="shared" ref="E110:P110" si="24">E109/E$95</f>
        <v>1.2886294101938414E-2</v>
      </c>
      <c r="F110" s="23">
        <f t="shared" si="24"/>
        <v>4.6851099854563934E-3</v>
      </c>
      <c r="G110" s="23">
        <f t="shared" si="24"/>
        <v>4.6859963902284429E-3</v>
      </c>
      <c r="H110" s="23">
        <f t="shared" si="24"/>
        <v>4.6049760685018641E-3</v>
      </c>
      <c r="I110" s="23">
        <f t="shared" si="24"/>
        <v>4.5489469113450792E-3</v>
      </c>
      <c r="J110" s="23">
        <f t="shared" si="24"/>
        <v>4.9385885149735298E-3</v>
      </c>
      <c r="K110" s="23">
        <f t="shared" si="24"/>
        <v>5.4085361857438563E-3</v>
      </c>
      <c r="L110" s="23">
        <f t="shared" si="24"/>
        <v>5.7862800132896615E-3</v>
      </c>
      <c r="M110" s="23">
        <f t="shared" si="24"/>
        <v>6.0734409013463502E-3</v>
      </c>
      <c r="N110" s="23">
        <f t="shared" si="24"/>
        <v>6.2489004649956218E-3</v>
      </c>
      <c r="O110" s="23">
        <f t="shared" si="24"/>
        <v>6.7667555731572284E-3</v>
      </c>
      <c r="P110" s="23">
        <f t="shared" si="24"/>
        <v>6.2018852058054854E-3</v>
      </c>
      <c r="Q110" s="18"/>
    </row>
    <row r="111" spans="3:17" ht="16.5" customHeight="1">
      <c r="C111" s="18" t="s">
        <v>62</v>
      </c>
    </row>
    <row r="113" spans="3:19" ht="16.5" customHeight="1">
      <c r="C113" s="32"/>
      <c r="D113" s="33">
        <v>2002</v>
      </c>
      <c r="E113" s="33">
        <v>2003</v>
      </c>
      <c r="F113" s="33">
        <v>2004</v>
      </c>
      <c r="G113" s="33">
        <v>2005</v>
      </c>
      <c r="H113" s="33">
        <v>2006</v>
      </c>
      <c r="I113" s="33">
        <v>2007</v>
      </c>
      <c r="J113" s="33">
        <v>2008</v>
      </c>
      <c r="K113" s="33">
        <v>2009</v>
      </c>
      <c r="L113" s="33">
        <v>2010</v>
      </c>
      <c r="M113" s="33">
        <v>2011</v>
      </c>
      <c r="N113" s="33">
        <v>2012</v>
      </c>
      <c r="O113" s="33">
        <v>2013</v>
      </c>
      <c r="P113" s="33">
        <v>2014</v>
      </c>
      <c r="Q113" s="33">
        <v>2015</v>
      </c>
      <c r="S113" s="9"/>
    </row>
    <row r="114" spans="3:19" ht="16.5" customHeight="1">
      <c r="C114" s="595" t="s">
        <v>275</v>
      </c>
      <c r="D114" s="102">
        <v>1488.78725515837</v>
      </c>
      <c r="E114" s="102">
        <v>1717.95039642449</v>
      </c>
      <c r="F114" s="102">
        <v>1957.75121296256</v>
      </c>
      <c r="G114" s="102">
        <v>2170.5845034221402</v>
      </c>
      <c r="H114" s="102">
        <v>2409.44992207205</v>
      </c>
      <c r="I114" s="102">
        <v>2720.2629378383199</v>
      </c>
      <c r="J114" s="102">
        <v>3109.8030890462801</v>
      </c>
      <c r="K114" s="102">
        <v>3333.0393554224202</v>
      </c>
      <c r="L114" s="103">
        <v>3885.8470000000002</v>
      </c>
      <c r="M114" s="103">
        <v>4373.6580000000004</v>
      </c>
      <c r="N114" s="103">
        <v>4805.9130000000096</v>
      </c>
      <c r="O114" s="103">
        <v>5316.4549999999899</v>
      </c>
      <c r="P114" s="103">
        <v>5687.3089999999902</v>
      </c>
      <c r="Q114" s="15">
        <v>5929.7484696311503</v>
      </c>
      <c r="S114" s="9"/>
    </row>
    <row r="115" spans="3:19" ht="16.5" customHeight="1">
      <c r="S115" s="9"/>
    </row>
    <row r="116" spans="3:19" ht="16.5" customHeight="1">
      <c r="S116" s="9"/>
    </row>
    <row r="117" spans="3:19" ht="16.5" customHeight="1">
      <c r="S117" s="9"/>
    </row>
    <row r="118" spans="3:19" ht="16.5" customHeight="1">
      <c r="S118" s="9"/>
    </row>
    <row r="119" spans="3:19" ht="16.5" customHeight="1">
      <c r="S119" s="9"/>
    </row>
    <row r="120" spans="3:19" ht="16.5" customHeight="1">
      <c r="S120" s="9"/>
    </row>
    <row r="121" spans="3:19" ht="16.5" customHeight="1">
      <c r="S121" s="9"/>
    </row>
    <row r="122" spans="3:19" ht="16.5" customHeight="1">
      <c r="S122" s="9"/>
    </row>
    <row r="123" spans="3:19" ht="16.5" customHeight="1">
      <c r="S123" s="9"/>
    </row>
    <row r="124" spans="3:19" ht="16.5" customHeight="1">
      <c r="S124" s="9"/>
    </row>
    <row r="125" spans="3:19" ht="16.5" customHeight="1">
      <c r="S125" s="9"/>
    </row>
    <row r="126" spans="3:19" ht="16.5" customHeight="1">
      <c r="S126" s="9"/>
    </row>
    <row r="127" spans="3:19" ht="16.5" customHeight="1">
      <c r="S127" s="9"/>
    </row>
    <row r="128" spans="3:19" ht="16.5" customHeight="1">
      <c r="S128" s="9"/>
    </row>
    <row r="129" spans="19:19" ht="16.5" customHeight="1">
      <c r="S129" s="9"/>
    </row>
    <row r="130" spans="19:19" ht="16.5" customHeight="1">
      <c r="S130" s="18"/>
    </row>
  </sheetData>
  <mergeCells count="3">
    <mergeCell ref="B4:B8"/>
    <mergeCell ref="B9:B13"/>
    <mergeCell ref="B2:Q2"/>
  </mergeCells>
  <pageMargins left="0.511811024" right="0.511811024" top="0.78740157499999996" bottom="0.78740157499999996" header="0.31496062000000002" footer="0.31496062000000002"/>
  <pageSetup paperSize="9" orientation="portrait" r:id="rId1"/>
  <ignoredErrors>
    <ignoredError sqref="D77:P90 D97:P110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P23"/>
  <sheetViews>
    <sheetView showGridLines="0" workbookViewId="0">
      <selection activeCell="E9" sqref="E9"/>
    </sheetView>
  </sheetViews>
  <sheetFormatPr defaultRowHeight="15"/>
  <cols>
    <col min="5" max="16" width="13.85546875" bestFit="1" customWidth="1"/>
  </cols>
  <sheetData>
    <row r="2" spans="2:16">
      <c r="E2" s="593">
        <v>-2580391930.7198448</v>
      </c>
      <c r="F2" s="593">
        <v>-2600476856.5008469</v>
      </c>
      <c r="G2" s="593">
        <v>-2609378407.3007088</v>
      </c>
      <c r="H2" s="593">
        <v>-2629074492.4699783</v>
      </c>
      <c r="I2" s="593">
        <v>-2720139155.2898636</v>
      </c>
      <c r="J2" s="593">
        <v>-1612489098.5305176</v>
      </c>
      <c r="K2" s="593">
        <v>-1654044827.4209251</v>
      </c>
      <c r="L2" s="593">
        <v>12104582904.710197</v>
      </c>
      <c r="M2" s="593">
        <v>26450234950.209892</v>
      </c>
      <c r="N2" s="593">
        <v>26718253409.020164</v>
      </c>
      <c r="O2" s="593">
        <v>11478039299.948517</v>
      </c>
      <c r="P2" s="593">
        <v>26682600559.540161</v>
      </c>
    </row>
    <row r="3" spans="2:16">
      <c r="E3" s="593">
        <v>0</v>
      </c>
      <c r="F3" s="593">
        <v>0</v>
      </c>
      <c r="G3" s="593">
        <v>0</v>
      </c>
      <c r="H3" s="593">
        <v>0</v>
      </c>
      <c r="I3" s="593">
        <v>0</v>
      </c>
      <c r="J3" s="593">
        <v>0</v>
      </c>
      <c r="K3" s="593">
        <v>0</v>
      </c>
      <c r="L3" s="593">
        <v>0</v>
      </c>
      <c r="M3" s="593">
        <v>0</v>
      </c>
      <c r="N3" s="593">
        <v>0</v>
      </c>
      <c r="O3" s="593">
        <v>0</v>
      </c>
      <c r="P3" s="593">
        <v>0</v>
      </c>
    </row>
    <row r="4" spans="2:16" ht="15.75" thickBot="1">
      <c r="B4" s="615" t="s">
        <v>276</v>
      </c>
      <c r="C4" s="615"/>
      <c r="D4" s="615"/>
      <c r="E4" s="615"/>
      <c r="F4" s="615"/>
      <c r="G4" s="615"/>
      <c r="H4" s="615"/>
      <c r="I4" s="615"/>
      <c r="J4" s="615"/>
      <c r="K4" s="615"/>
      <c r="L4" s="615"/>
      <c r="M4" s="615"/>
      <c r="N4" s="615"/>
      <c r="O4" s="615"/>
      <c r="P4" s="615"/>
    </row>
    <row r="5" spans="2:16">
      <c r="B5" s="148"/>
      <c r="C5" s="149"/>
      <c r="D5" s="149"/>
      <c r="E5" s="150">
        <v>41640</v>
      </c>
      <c r="F5" s="150">
        <v>41671</v>
      </c>
      <c r="G5" s="150">
        <v>41699</v>
      </c>
      <c r="H5" s="150">
        <v>41730</v>
      </c>
      <c r="I5" s="150">
        <v>41760</v>
      </c>
      <c r="J5" s="150">
        <v>41791</v>
      </c>
      <c r="K5" s="150">
        <v>41821</v>
      </c>
      <c r="L5" s="150">
        <v>41852</v>
      </c>
      <c r="M5" s="150">
        <v>41883</v>
      </c>
      <c r="N5" s="150">
        <v>41913</v>
      </c>
      <c r="O5" s="150">
        <v>41944</v>
      </c>
      <c r="P5" s="151">
        <v>41974</v>
      </c>
    </row>
    <row r="6" spans="2:16">
      <c r="B6" s="616" t="s">
        <v>3</v>
      </c>
      <c r="C6" s="612" t="s">
        <v>94</v>
      </c>
      <c r="D6" t="s">
        <v>3</v>
      </c>
      <c r="E6" s="138">
        <v>26971009</v>
      </c>
      <c r="F6" s="138">
        <v>26980501</v>
      </c>
      <c r="G6" s="138">
        <v>27075646</v>
      </c>
      <c r="H6" s="138">
        <v>27218596</v>
      </c>
      <c r="I6" s="138">
        <v>27252239</v>
      </c>
      <c r="J6" s="138">
        <v>27326879</v>
      </c>
      <c r="K6" s="138">
        <v>27433536</v>
      </c>
      <c r="L6" s="138">
        <v>27462439</v>
      </c>
      <c r="M6" s="138">
        <v>27556461</v>
      </c>
      <c r="N6" s="138">
        <v>27725361</v>
      </c>
      <c r="O6" s="138">
        <v>27756971</v>
      </c>
      <c r="P6" s="139">
        <v>27818973</v>
      </c>
    </row>
    <row r="7" spans="2:16">
      <c r="B7" s="609"/>
      <c r="C7" s="612"/>
      <c r="D7" t="s">
        <v>95</v>
      </c>
      <c r="E7" s="138">
        <v>17536343</v>
      </c>
      <c r="F7" s="138">
        <v>17538448</v>
      </c>
      <c r="G7" s="138">
        <v>17585112</v>
      </c>
      <c r="H7" s="138">
        <v>17651841</v>
      </c>
      <c r="I7" s="138">
        <v>17667752</v>
      </c>
      <c r="J7" s="138">
        <v>17704036</v>
      </c>
      <c r="K7" s="138">
        <v>17749669</v>
      </c>
      <c r="L7" s="138">
        <v>17728011</v>
      </c>
      <c r="M7" s="138">
        <v>17792202</v>
      </c>
      <c r="N7" s="138">
        <v>17861082</v>
      </c>
      <c r="O7" s="138">
        <v>17843924</v>
      </c>
      <c r="P7" s="139">
        <v>17895841</v>
      </c>
    </row>
    <row r="8" spans="2:16">
      <c r="B8" s="609"/>
      <c r="C8" s="613"/>
      <c r="D8" s="145" t="s">
        <v>96</v>
      </c>
      <c r="E8" s="146">
        <v>9434666</v>
      </c>
      <c r="F8" s="146">
        <v>9442053</v>
      </c>
      <c r="G8" s="146">
        <v>9490534</v>
      </c>
      <c r="H8" s="146">
        <v>9566755</v>
      </c>
      <c r="I8" s="146">
        <v>9584487</v>
      </c>
      <c r="J8" s="146">
        <v>9622843</v>
      </c>
      <c r="K8" s="146">
        <v>9683867</v>
      </c>
      <c r="L8" s="146">
        <v>9734428</v>
      </c>
      <c r="M8" s="146">
        <v>9764259</v>
      </c>
      <c r="N8" s="146">
        <v>9864279</v>
      </c>
      <c r="O8" s="146">
        <v>9913047</v>
      </c>
      <c r="P8" s="147">
        <v>9923132</v>
      </c>
    </row>
    <row r="9" spans="2:16">
      <c r="B9" s="609"/>
      <c r="C9" s="612" t="s">
        <v>20</v>
      </c>
      <c r="D9" t="s">
        <v>3</v>
      </c>
      <c r="E9" s="138">
        <v>25845845417.70982</v>
      </c>
      <c r="F9" s="138">
        <v>25845307990.760036</v>
      </c>
      <c r="G9" s="138">
        <v>25947370110.950058</v>
      </c>
      <c r="H9" s="138">
        <v>26091947974.130165</v>
      </c>
      <c r="I9" s="138">
        <v>26047398603.48983</v>
      </c>
      <c r="J9" s="138">
        <v>26245762268.86026</v>
      </c>
      <c r="K9" s="138">
        <v>26334429356.569904</v>
      </c>
      <c r="L9" s="138">
        <v>40166433814.140053</v>
      </c>
      <c r="M9" s="138">
        <v>26450234950.209892</v>
      </c>
      <c r="N9" s="138">
        <v>26718253409.020164</v>
      </c>
      <c r="O9" s="138">
        <v>40913890607.179962</v>
      </c>
      <c r="P9" s="139">
        <v>26682600559.540161</v>
      </c>
    </row>
    <row r="10" spans="2:16">
      <c r="B10" s="609"/>
      <c r="C10" s="612"/>
      <c r="D10" t="s">
        <v>95</v>
      </c>
      <c r="E10" s="138">
        <v>12439323975.720039</v>
      </c>
      <c r="F10" s="138">
        <v>12440833885.530003</v>
      </c>
      <c r="G10" s="138">
        <v>12474251647.440002</v>
      </c>
      <c r="H10" s="138">
        <v>12522016087.21999</v>
      </c>
      <c r="I10" s="138">
        <v>12533411965.119999</v>
      </c>
      <c r="J10" s="138">
        <v>12559422271.979984</v>
      </c>
      <c r="K10" s="138">
        <v>12592144929.539989</v>
      </c>
      <c r="L10" s="138">
        <v>12589062369.770027</v>
      </c>
      <c r="M10" s="138"/>
      <c r="N10" s="138"/>
      <c r="O10" s="138">
        <v>12672433015.779993</v>
      </c>
      <c r="P10" s="139"/>
    </row>
    <row r="11" spans="2:16" ht="15.75" thickBot="1">
      <c r="B11" s="610"/>
      <c r="C11" s="614"/>
      <c r="D11" s="140" t="s">
        <v>96</v>
      </c>
      <c r="E11" s="141">
        <v>15986913372.709625</v>
      </c>
      <c r="F11" s="141">
        <v>16004950961.730881</v>
      </c>
      <c r="G11" s="141">
        <v>16082496870.810764</v>
      </c>
      <c r="H11" s="141">
        <v>16199006379.380154</v>
      </c>
      <c r="I11" s="141">
        <v>16234125793.659693</v>
      </c>
      <c r="J11" s="141">
        <v>15298829095.410795</v>
      </c>
      <c r="K11" s="141">
        <v>15396329254.450838</v>
      </c>
      <c r="L11" s="141">
        <v>15472788539.659828</v>
      </c>
      <c r="M11" s="141"/>
      <c r="N11" s="141"/>
      <c r="O11" s="141">
        <v>16763418291.451452</v>
      </c>
      <c r="P11" s="142"/>
    </row>
    <row r="12" spans="2:16">
      <c r="B12" s="608" t="s">
        <v>97</v>
      </c>
      <c r="C12" s="611" t="s">
        <v>94</v>
      </c>
      <c r="D12" s="137" t="s">
        <v>3</v>
      </c>
      <c r="E12" s="143">
        <v>18016167</v>
      </c>
      <c r="F12" s="143">
        <v>18020092</v>
      </c>
      <c r="G12" s="143">
        <v>18091751</v>
      </c>
      <c r="H12" s="143">
        <v>18206163</v>
      </c>
      <c r="I12" s="143">
        <v>18225622</v>
      </c>
      <c r="J12" s="143">
        <v>18275859</v>
      </c>
      <c r="K12" s="143">
        <v>18355879</v>
      </c>
      <c r="L12" s="143">
        <v>18376142</v>
      </c>
      <c r="M12" s="143">
        <v>18446904</v>
      </c>
      <c r="N12" s="143">
        <v>18584209</v>
      </c>
      <c r="O12" s="143">
        <v>18605877</v>
      </c>
      <c r="P12" s="144">
        <v>18651175</v>
      </c>
    </row>
    <row r="13" spans="2:16">
      <c r="B13" s="609"/>
      <c r="C13" s="612"/>
      <c r="D13" t="s">
        <v>95</v>
      </c>
      <c r="E13" s="138">
        <v>8636780</v>
      </c>
      <c r="F13" s="138">
        <v>8633462</v>
      </c>
      <c r="G13" s="138">
        <v>8656893</v>
      </c>
      <c r="H13" s="138">
        <v>8695346</v>
      </c>
      <c r="I13" s="138">
        <v>8697223</v>
      </c>
      <c r="J13" s="138">
        <v>8709273</v>
      </c>
      <c r="K13" s="138">
        <v>8728551</v>
      </c>
      <c r="L13" s="138">
        <v>8698480</v>
      </c>
      <c r="M13" s="138">
        <v>8739644</v>
      </c>
      <c r="N13" s="138">
        <v>8777259</v>
      </c>
      <c r="O13" s="138">
        <v>8750413</v>
      </c>
      <c r="P13" s="139">
        <v>8785822</v>
      </c>
    </row>
    <row r="14" spans="2:16">
      <c r="B14" s="609"/>
      <c r="C14" s="613"/>
      <c r="D14" s="145" t="s">
        <v>96</v>
      </c>
      <c r="E14" s="146">
        <v>9379387</v>
      </c>
      <c r="F14" s="146">
        <v>9386630</v>
      </c>
      <c r="G14" s="146">
        <v>9434858</v>
      </c>
      <c r="H14" s="146">
        <v>9510817</v>
      </c>
      <c r="I14" s="146">
        <v>9528399</v>
      </c>
      <c r="J14" s="146">
        <v>9566586</v>
      </c>
      <c r="K14" s="146">
        <v>9627328</v>
      </c>
      <c r="L14" s="146">
        <v>9677662</v>
      </c>
      <c r="M14" s="146">
        <v>9707260</v>
      </c>
      <c r="N14" s="146">
        <v>9806950</v>
      </c>
      <c r="O14" s="146">
        <v>9855464</v>
      </c>
      <c r="P14" s="147">
        <v>9865353</v>
      </c>
    </row>
    <row r="15" spans="2:16">
      <c r="B15" s="609"/>
      <c r="C15" s="612" t="s">
        <v>20</v>
      </c>
      <c r="D15" t="s">
        <v>3</v>
      </c>
      <c r="E15" s="138">
        <v>21946332309.989651</v>
      </c>
      <c r="F15" s="138">
        <v>21961902916.840881</v>
      </c>
      <c r="G15" s="138">
        <v>22055953386.030769</v>
      </c>
      <c r="H15" s="138">
        <v>22199618488.86013</v>
      </c>
      <c r="I15" s="138">
        <v>22235922206.3797</v>
      </c>
      <c r="J15" s="138">
        <v>21309079248.120777</v>
      </c>
      <c r="K15" s="138">
        <v>21420100752.98082</v>
      </c>
      <c r="L15" s="138">
        <v>21486974687.819847</v>
      </c>
      <c r="M15" s="138"/>
      <c r="N15" s="138"/>
      <c r="O15" s="138">
        <v>22814178423.721443</v>
      </c>
      <c r="P15" s="139"/>
    </row>
    <row r="16" spans="2:16">
      <c r="B16" s="609"/>
      <c r="C16" s="612"/>
      <c r="D16" t="s">
        <v>95</v>
      </c>
      <c r="E16" s="138">
        <v>6022706695.2000399</v>
      </c>
      <c r="F16" s="138">
        <v>6020363751.6200018</v>
      </c>
      <c r="G16" s="138">
        <v>6037134494.7700043</v>
      </c>
      <c r="H16" s="138">
        <v>6064561223.2399883</v>
      </c>
      <c r="I16" s="138">
        <v>6065870439.960001</v>
      </c>
      <c r="J16" s="138">
        <v>6074480283.9299822</v>
      </c>
      <c r="K16" s="138">
        <v>6088276490.8999863</v>
      </c>
      <c r="L16" s="138">
        <v>6078888338.7500219</v>
      </c>
      <c r="M16" s="138"/>
      <c r="N16" s="138"/>
      <c r="O16" s="138">
        <v>6116297113.3099957</v>
      </c>
      <c r="P16" s="139"/>
    </row>
    <row r="17" spans="2:16" ht="15.75" thickBot="1">
      <c r="B17" s="610"/>
      <c r="C17" s="614"/>
      <c r="D17" s="140" t="s">
        <v>96</v>
      </c>
      <c r="E17" s="141">
        <v>15923625614.789619</v>
      </c>
      <c r="F17" s="141">
        <v>15941539165.220884</v>
      </c>
      <c r="G17" s="141">
        <v>16018818891.260769</v>
      </c>
      <c r="H17" s="141">
        <v>16135057265.620157</v>
      </c>
      <c r="I17" s="141">
        <v>16170051766.419695</v>
      </c>
      <c r="J17" s="141">
        <v>15234598964.190798</v>
      </c>
      <c r="K17" s="141">
        <v>15331824262.080833</v>
      </c>
      <c r="L17" s="141">
        <v>15408086349.069834</v>
      </c>
      <c r="M17" s="141"/>
      <c r="N17" s="141"/>
      <c r="O17" s="141">
        <v>16697881310.411455</v>
      </c>
      <c r="P17" s="142"/>
    </row>
    <row r="18" spans="2:16">
      <c r="B18" s="608" t="s">
        <v>19</v>
      </c>
      <c r="C18" s="611" t="s">
        <v>94</v>
      </c>
      <c r="D18" s="137" t="s">
        <v>3</v>
      </c>
      <c r="E18" s="143">
        <v>8954842</v>
      </c>
      <c r="F18" s="143">
        <v>8960409</v>
      </c>
      <c r="G18" s="143">
        <v>8983895</v>
      </c>
      <c r="H18" s="143">
        <v>9012433</v>
      </c>
      <c r="I18" s="143">
        <v>9026617</v>
      </c>
      <c r="J18" s="143">
        <v>9051020</v>
      </c>
      <c r="K18" s="143">
        <v>9077657</v>
      </c>
      <c r="L18" s="143">
        <v>9086297</v>
      </c>
      <c r="M18" s="143">
        <v>9109557</v>
      </c>
      <c r="N18" s="143">
        <v>9141152</v>
      </c>
      <c r="O18" s="143">
        <v>9151094</v>
      </c>
      <c r="P18" s="144">
        <v>9167798</v>
      </c>
    </row>
    <row r="19" spans="2:16">
      <c r="B19" s="609"/>
      <c r="C19" s="612"/>
      <c r="D19" t="s">
        <v>95</v>
      </c>
      <c r="E19" s="138">
        <v>8899563</v>
      </c>
      <c r="F19" s="138">
        <v>8904986</v>
      </c>
      <c r="G19" s="138">
        <v>8928219</v>
      </c>
      <c r="H19" s="138">
        <v>8956495</v>
      </c>
      <c r="I19" s="138">
        <v>8970529</v>
      </c>
      <c r="J19" s="138">
        <v>8994763</v>
      </c>
      <c r="K19" s="138">
        <v>9021118</v>
      </c>
      <c r="L19" s="138">
        <v>9029531</v>
      </c>
      <c r="M19" s="138">
        <v>9052558</v>
      </c>
      <c r="N19" s="138">
        <v>9083823</v>
      </c>
      <c r="O19" s="138">
        <v>9093511</v>
      </c>
      <c r="P19" s="139">
        <v>9110019</v>
      </c>
    </row>
    <row r="20" spans="2:16">
      <c r="B20" s="609"/>
      <c r="C20" s="613"/>
      <c r="D20" s="145" t="s">
        <v>96</v>
      </c>
      <c r="E20" s="146">
        <v>55279</v>
      </c>
      <c r="F20" s="146">
        <v>55423</v>
      </c>
      <c r="G20" s="146">
        <v>55676</v>
      </c>
      <c r="H20" s="146">
        <v>55938</v>
      </c>
      <c r="I20" s="146">
        <v>56088</v>
      </c>
      <c r="J20" s="146">
        <v>56257</v>
      </c>
      <c r="K20" s="146">
        <v>56539</v>
      </c>
      <c r="L20" s="146">
        <v>56766</v>
      </c>
      <c r="M20" s="146">
        <v>56999</v>
      </c>
      <c r="N20" s="146">
        <v>57329</v>
      </c>
      <c r="O20" s="146">
        <v>57583</v>
      </c>
      <c r="P20" s="147">
        <v>57779</v>
      </c>
    </row>
    <row r="21" spans="2:16">
      <c r="B21" s="609"/>
      <c r="C21" s="612" t="s">
        <v>20</v>
      </c>
      <c r="D21" t="s">
        <v>3</v>
      </c>
      <c r="E21" s="138">
        <v>6479905038.4400063</v>
      </c>
      <c r="F21" s="138">
        <v>6483881930.4199972</v>
      </c>
      <c r="G21" s="138">
        <v>6500795132.2199945</v>
      </c>
      <c r="H21" s="138">
        <v>6521403977.7399969</v>
      </c>
      <c r="I21" s="138">
        <v>6531615552.3999968</v>
      </c>
      <c r="J21" s="138">
        <v>6549172119.2700005</v>
      </c>
      <c r="K21" s="138">
        <v>6568373431.0100079</v>
      </c>
      <c r="L21" s="138">
        <v>6574876221.6099987</v>
      </c>
      <c r="M21" s="138"/>
      <c r="N21" s="138"/>
      <c r="O21" s="138">
        <v>6621672883.5099955</v>
      </c>
      <c r="P21" s="139"/>
    </row>
    <row r="22" spans="2:16">
      <c r="B22" s="609"/>
      <c r="C22" s="612"/>
      <c r="D22" t="s">
        <v>95</v>
      </c>
      <c r="E22" s="138">
        <v>6416617280.5200005</v>
      </c>
      <c r="F22" s="138">
        <v>6420470133.9100008</v>
      </c>
      <c r="G22" s="138">
        <v>6437117152.6699991</v>
      </c>
      <c r="H22" s="138">
        <v>6457454863.9800005</v>
      </c>
      <c r="I22" s="138">
        <v>6467541525.1599989</v>
      </c>
      <c r="J22" s="138">
        <v>6484941988.0500021</v>
      </c>
      <c r="K22" s="138">
        <v>6503868438.6400023</v>
      </c>
      <c r="L22" s="138">
        <v>6510174031.0200043</v>
      </c>
      <c r="M22" s="138"/>
      <c r="N22" s="138"/>
      <c r="O22" s="138">
        <v>6556135902.4699974</v>
      </c>
      <c r="P22" s="139"/>
    </row>
    <row r="23" spans="2:16" ht="15.75" thickBot="1">
      <c r="B23" s="610"/>
      <c r="C23" s="614"/>
      <c r="D23" s="140" t="s">
        <v>96</v>
      </c>
      <c r="E23" s="141">
        <v>63287757.920005538</v>
      </c>
      <c r="F23" s="141">
        <v>63411796.509996735</v>
      </c>
      <c r="G23" s="141">
        <v>63677979.54999613</v>
      </c>
      <c r="H23" s="141">
        <v>63949113.759996742</v>
      </c>
      <c r="I23" s="141">
        <v>64074027.239998192</v>
      </c>
      <c r="J23" s="141">
        <v>64230131.219998099</v>
      </c>
      <c r="K23" s="141">
        <v>64504992.370005503</v>
      </c>
      <c r="L23" s="141">
        <v>64702190.589994423</v>
      </c>
      <c r="M23" s="141"/>
      <c r="N23" s="141"/>
      <c r="O23" s="141">
        <v>65536981.039997719</v>
      </c>
      <c r="P23" s="142"/>
    </row>
  </sheetData>
  <mergeCells count="10">
    <mergeCell ref="B18:B23"/>
    <mergeCell ref="C18:C20"/>
    <mergeCell ref="C21:C23"/>
    <mergeCell ref="B4:P4"/>
    <mergeCell ref="B6:B11"/>
    <mergeCell ref="C6:C8"/>
    <mergeCell ref="C9:C11"/>
    <mergeCell ref="B12:B17"/>
    <mergeCell ref="C12:C14"/>
    <mergeCell ref="C15:C17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7" tint="0.79998168889431442"/>
  </sheetPr>
  <dimension ref="B1:AD44"/>
  <sheetViews>
    <sheetView showGridLines="0" workbookViewId="0">
      <selection activeCell="M16" sqref="M16"/>
    </sheetView>
  </sheetViews>
  <sheetFormatPr defaultRowHeight="15"/>
  <cols>
    <col min="2" max="2" width="16" customWidth="1"/>
    <col min="4" max="4" width="13" customWidth="1"/>
    <col min="5" max="5" width="12.5703125" customWidth="1"/>
    <col min="6" max="6" width="11.7109375" bestFit="1" customWidth="1"/>
    <col min="7" max="7" width="13.5703125" bestFit="1" customWidth="1"/>
    <col min="8" max="8" width="11.7109375" bestFit="1" customWidth="1"/>
    <col min="9" max="9" width="12.140625" bestFit="1" customWidth="1"/>
    <col min="10" max="10" width="11.7109375" bestFit="1" customWidth="1"/>
    <col min="11" max="11" width="15" bestFit="1" customWidth="1"/>
    <col min="12" max="13" width="11.85546875" bestFit="1" customWidth="1"/>
    <col min="14" max="14" width="11.7109375" bestFit="1" customWidth="1"/>
    <col min="15" max="15" width="11.85546875" bestFit="1" customWidth="1"/>
    <col min="16" max="22" width="14.85546875" bestFit="1" customWidth="1"/>
  </cols>
  <sheetData>
    <row r="1" spans="2:30" ht="15.75" thickBot="1">
      <c r="M1" s="169"/>
      <c r="N1" s="170"/>
      <c r="O1" s="170"/>
      <c r="P1" s="617" t="s">
        <v>107</v>
      </c>
      <c r="Q1" s="618"/>
      <c r="R1" s="170"/>
      <c r="S1" s="620" t="s">
        <v>106</v>
      </c>
      <c r="T1" s="620"/>
      <c r="U1" s="620"/>
      <c r="V1" s="621"/>
    </row>
    <row r="2" spans="2:30" s="1" customFormat="1" ht="30" customHeight="1">
      <c r="B2" s="94"/>
      <c r="C2" s="95"/>
      <c r="D2" s="95"/>
      <c r="E2" s="93">
        <v>42339</v>
      </c>
      <c r="H2" s="94"/>
      <c r="I2" s="95"/>
      <c r="J2" s="95"/>
      <c r="K2" s="13">
        <v>2015</v>
      </c>
      <c r="M2" s="185"/>
      <c r="P2" s="186" t="s">
        <v>109</v>
      </c>
      <c r="Q2" s="187" t="s">
        <v>110</v>
      </c>
      <c r="S2" s="186" t="s">
        <v>111</v>
      </c>
      <c r="T2" s="186" t="s">
        <v>112</v>
      </c>
      <c r="U2" s="186" t="s">
        <v>113</v>
      </c>
      <c r="V2" s="1" t="s">
        <v>106</v>
      </c>
    </row>
    <row r="3" spans="2:30" ht="15" customHeight="1">
      <c r="B3" s="626" t="s">
        <v>46</v>
      </c>
      <c r="C3" s="9" t="s">
        <v>19</v>
      </c>
      <c r="D3" s="9" t="s">
        <v>38</v>
      </c>
      <c r="E3" s="10">
        <f>SUM(P16:P17)</f>
        <v>9190388</v>
      </c>
      <c r="H3" s="78"/>
      <c r="I3" s="9" t="s">
        <v>19</v>
      </c>
      <c r="J3" s="9" t="s">
        <v>38</v>
      </c>
      <c r="K3" s="91">
        <f>L3*K5</f>
        <v>141994599779.74237</v>
      </c>
      <c r="L3" s="69">
        <v>0.99050725186979083</v>
      </c>
      <c r="M3" s="623" t="s">
        <v>64</v>
      </c>
      <c r="N3" s="619" t="s">
        <v>41</v>
      </c>
      <c r="O3" s="3" t="s">
        <v>37</v>
      </c>
      <c r="P3" s="171">
        <f t="shared" ref="P3:P9" si="0">SUM(E22:P22)</f>
        <v>122218240628.91846</v>
      </c>
      <c r="Q3" s="183">
        <f t="shared" ref="Q3:Q8" si="1">P3*$P$9/SUM($P$3,$P$6)</f>
        <v>293015835856.53223</v>
      </c>
      <c r="R3" s="181" t="s">
        <v>108</v>
      </c>
      <c r="S3" s="176">
        <f>Q3-SUM(Q4:Q5)</f>
        <v>210869779673.20178</v>
      </c>
      <c r="T3" s="176">
        <f>(O12-SUM(O13:O14))*788</f>
        <v>7864169080</v>
      </c>
      <c r="U3" s="177">
        <f>T3/(O22-SUM(O23:O24))</f>
        <v>0.48577924329048949</v>
      </c>
      <c r="V3" s="178">
        <f t="shared" ref="V3:V8" si="2">U3*S3</f>
        <v>102436162002.48021</v>
      </c>
    </row>
    <row r="4" spans="2:30">
      <c r="B4" s="626"/>
      <c r="C4" s="9"/>
      <c r="D4" s="9" t="s">
        <v>42</v>
      </c>
      <c r="E4" s="10">
        <f>E5-E3</f>
        <v>102809.56609945744</v>
      </c>
      <c r="H4" s="78"/>
      <c r="I4" s="9"/>
      <c r="J4" s="9" t="s">
        <v>42</v>
      </c>
      <c r="K4" s="91">
        <f>K5-K3</f>
        <v>1360837054.9680176</v>
      </c>
      <c r="M4" s="623"/>
      <c r="N4" s="619"/>
      <c r="O4" s="4" t="s">
        <v>43</v>
      </c>
      <c r="P4" s="171">
        <f t="shared" si="0"/>
        <v>1420913659.3200016</v>
      </c>
      <c r="Q4" s="183">
        <f t="shared" si="1"/>
        <v>3406612641.6411543</v>
      </c>
      <c r="R4" s="182" t="s">
        <v>43</v>
      </c>
      <c r="S4" s="176">
        <f>Q4</f>
        <v>3406612641.6411543</v>
      </c>
      <c r="T4" s="176">
        <f>O23</f>
        <v>282290230.22002202</v>
      </c>
      <c r="U4" s="188">
        <f>T4/O23</f>
        <v>1</v>
      </c>
      <c r="V4" s="178">
        <f t="shared" si="2"/>
        <v>3406612641.6411543</v>
      </c>
    </row>
    <row r="5" spans="2:30">
      <c r="B5" s="626"/>
      <c r="C5" s="9"/>
      <c r="D5" s="9" t="s">
        <v>3</v>
      </c>
      <c r="E5" s="10">
        <f>P15</f>
        <v>9293197.5660994574</v>
      </c>
      <c r="H5" s="78" t="s">
        <v>20</v>
      </c>
      <c r="I5" s="9"/>
      <c r="J5" s="9" t="s">
        <v>3</v>
      </c>
      <c r="K5" s="91">
        <v>143355436834.71039</v>
      </c>
      <c r="M5" s="623"/>
      <c r="N5" s="619"/>
      <c r="O5" s="5" t="s">
        <v>44</v>
      </c>
      <c r="P5" s="171">
        <f t="shared" si="0"/>
        <v>32842580776</v>
      </c>
      <c r="Q5" s="183">
        <f t="shared" si="1"/>
        <v>78739443541.68927</v>
      </c>
      <c r="R5" s="84" t="s">
        <v>44</v>
      </c>
      <c r="S5" s="176">
        <f>Q5</f>
        <v>78739443541.68927</v>
      </c>
      <c r="T5" s="176">
        <f>O24</f>
        <v>6538229848</v>
      </c>
      <c r="U5" s="188">
        <f>T5/O24</f>
        <v>1</v>
      </c>
      <c r="V5" s="178">
        <f t="shared" si="2"/>
        <v>78739443541.68927</v>
      </c>
    </row>
    <row r="6" spans="2:30">
      <c r="B6" s="626"/>
      <c r="C6" s="9" t="s">
        <v>4</v>
      </c>
      <c r="D6" s="9" t="s">
        <v>38</v>
      </c>
      <c r="E6" s="10">
        <f>SUM(P13:P14)</f>
        <v>8962122</v>
      </c>
      <c r="H6" s="78"/>
      <c r="I6" s="9" t="s">
        <v>4</v>
      </c>
      <c r="J6" s="9" t="s">
        <v>38</v>
      </c>
      <c r="K6" s="91">
        <f>L6*K8</f>
        <v>65521726819.652367</v>
      </c>
      <c r="L6" s="69">
        <v>0.27662781112229951</v>
      </c>
      <c r="M6" s="623"/>
      <c r="N6" s="619" t="s">
        <v>45</v>
      </c>
      <c r="O6" s="3" t="s">
        <v>37</v>
      </c>
      <c r="P6" s="171">
        <f t="shared" si="0"/>
        <v>36370843586.749969</v>
      </c>
      <c r="Q6" s="183">
        <f t="shared" si="1"/>
        <v>87198384459.94693</v>
      </c>
      <c r="R6" s="181" t="s">
        <v>108</v>
      </c>
      <c r="S6" s="176">
        <f>Q6-SUM(Q7:Q8)</f>
        <v>829820142.42762756</v>
      </c>
      <c r="T6" s="176">
        <f>(O15-SUM(O16:O17))*788</f>
        <v>45101180</v>
      </c>
      <c r="U6" s="177">
        <f>T6/(O25-SUM(O26:O27))</f>
        <v>0.64448696255523674</v>
      </c>
      <c r="V6" s="178">
        <f t="shared" si="2"/>
        <v>534808263.06033564</v>
      </c>
    </row>
    <row r="7" spans="2:30">
      <c r="B7" s="626"/>
      <c r="C7" s="9"/>
      <c r="D7" s="9" t="s">
        <v>42</v>
      </c>
      <c r="E7" s="10">
        <f>E8-E6</f>
        <v>10021027.43390055</v>
      </c>
      <c r="H7" s="78"/>
      <c r="I7" s="9"/>
      <c r="J7" s="9" t="s">
        <v>42</v>
      </c>
      <c r="K7" s="91">
        <f>K8-K6</f>
        <v>171337056662.11639</v>
      </c>
      <c r="M7" s="623"/>
      <c r="N7" s="619"/>
      <c r="O7" s="4" t="s">
        <v>43</v>
      </c>
      <c r="P7" s="171">
        <f t="shared" si="0"/>
        <v>131083059.22999349</v>
      </c>
      <c r="Q7" s="183">
        <f t="shared" si="1"/>
        <v>314269064.66054702</v>
      </c>
      <c r="R7" s="182" t="s">
        <v>43</v>
      </c>
      <c r="S7" s="176">
        <f>Q7</f>
        <v>314269064.66054702</v>
      </c>
      <c r="T7" s="176">
        <f>O26</f>
        <v>26475342.509997256</v>
      </c>
      <c r="U7" s="188">
        <f>T7/O26</f>
        <v>1</v>
      </c>
      <c r="V7" s="178">
        <f t="shared" si="2"/>
        <v>314269064.66054702</v>
      </c>
    </row>
    <row r="8" spans="2:30" ht="15.75" thickBot="1">
      <c r="B8" s="627"/>
      <c r="C8" s="11"/>
      <c r="D8" s="11" t="s">
        <v>3</v>
      </c>
      <c r="E8" s="12">
        <f>P12</f>
        <v>18983149.43390055</v>
      </c>
      <c r="H8" s="79"/>
      <c r="I8" s="11"/>
      <c r="J8" s="11" t="s">
        <v>3</v>
      </c>
      <c r="K8" s="92">
        <v>236858783481.76877</v>
      </c>
      <c r="M8" s="623"/>
      <c r="N8" s="619"/>
      <c r="O8" s="5" t="s">
        <v>44</v>
      </c>
      <c r="P8" s="171">
        <f t="shared" si="0"/>
        <v>35893638764</v>
      </c>
      <c r="Q8" s="183">
        <f t="shared" si="1"/>
        <v>86054295252.858749</v>
      </c>
      <c r="R8" s="84" t="s">
        <v>44</v>
      </c>
      <c r="S8" s="176">
        <f>Q8</f>
        <v>86054295252.858749</v>
      </c>
      <c r="T8" s="176">
        <f>O27</f>
        <v>7184796456</v>
      </c>
      <c r="U8" s="188">
        <f>T8/O27</f>
        <v>1</v>
      </c>
      <c r="V8" s="178">
        <f t="shared" si="2"/>
        <v>86054295252.858749</v>
      </c>
    </row>
    <row r="9" spans="2:30" ht="15.75" thickBot="1">
      <c r="B9" s="1"/>
      <c r="E9" s="8"/>
      <c r="F9" s="8"/>
      <c r="G9" s="8"/>
      <c r="H9" s="8"/>
      <c r="I9" s="8"/>
      <c r="J9" s="8"/>
      <c r="K9" s="8"/>
      <c r="M9" s="624" t="s">
        <v>3</v>
      </c>
      <c r="N9" s="625"/>
      <c r="O9" s="625"/>
      <c r="P9" s="172">
        <f t="shared" si="0"/>
        <v>380214220316.47919</v>
      </c>
      <c r="Q9" s="184">
        <f>SUM(Q3,Q6)</f>
        <v>380214220316.47913</v>
      </c>
      <c r="R9" s="140"/>
      <c r="S9" s="179">
        <f>SUM(S3:S8)</f>
        <v>380214220316.47913</v>
      </c>
      <c r="T9" s="179">
        <f>SUM(T3:T8)</f>
        <v>21941062136.730019</v>
      </c>
      <c r="U9" s="189">
        <f>T9/(O22+O25)</f>
        <v>0.72435353887474263</v>
      </c>
      <c r="V9" s="180">
        <f>SUM(V3:V8)</f>
        <v>271485590766.39026</v>
      </c>
    </row>
    <row r="10" spans="2:30">
      <c r="Q10" s="576">
        <v>1.4512301102412799E-2</v>
      </c>
      <c r="R10" s="622" t="s">
        <v>105</v>
      </c>
      <c r="S10" s="622"/>
      <c r="T10" s="622"/>
      <c r="U10" s="622"/>
      <c r="V10" s="622"/>
      <c r="W10" s="622"/>
      <c r="X10" s="622"/>
      <c r="Y10" s="622"/>
      <c r="Z10" s="622"/>
      <c r="AA10" s="622"/>
      <c r="AB10" s="622"/>
      <c r="AC10" s="622"/>
      <c r="AD10" s="622"/>
    </row>
    <row r="11" spans="2:30">
      <c r="B11" t="s">
        <v>63</v>
      </c>
      <c r="E11" s="2">
        <v>42005</v>
      </c>
      <c r="F11" s="2">
        <v>42036</v>
      </c>
      <c r="G11" s="2">
        <v>42064</v>
      </c>
      <c r="H11" s="2">
        <v>42095</v>
      </c>
      <c r="I11" s="2">
        <v>42125</v>
      </c>
      <c r="J11" s="2">
        <v>42156</v>
      </c>
      <c r="K11" s="2">
        <v>42186</v>
      </c>
      <c r="L11" s="2">
        <v>42217</v>
      </c>
      <c r="M11" s="2">
        <v>42248</v>
      </c>
      <c r="N11" s="2">
        <v>42278</v>
      </c>
      <c r="O11" s="2">
        <v>42309</v>
      </c>
      <c r="P11" s="2">
        <v>42339</v>
      </c>
      <c r="R11" s="173"/>
      <c r="S11" s="174">
        <v>42005</v>
      </c>
      <c r="T11" s="174">
        <v>42036</v>
      </c>
      <c r="U11" s="174">
        <v>42064</v>
      </c>
      <c r="V11" s="174">
        <v>42095</v>
      </c>
      <c r="W11" s="174">
        <v>42125</v>
      </c>
      <c r="X11" s="174">
        <v>42156</v>
      </c>
      <c r="Y11" s="174">
        <v>42186</v>
      </c>
      <c r="Z11" s="174">
        <v>42217</v>
      </c>
      <c r="AA11" s="174">
        <v>42248</v>
      </c>
      <c r="AB11" s="174">
        <v>42278</v>
      </c>
      <c r="AC11" s="174">
        <v>42309</v>
      </c>
      <c r="AD11" s="174"/>
    </row>
    <row r="12" spans="2:30" ht="12" customHeight="1">
      <c r="B12" s="628" t="s">
        <v>46</v>
      </c>
      <c r="C12" s="619" t="s">
        <v>41</v>
      </c>
      <c r="D12" s="3" t="s">
        <v>37</v>
      </c>
      <c r="E12" s="6">
        <v>18654755</v>
      </c>
      <c r="F12" s="6">
        <v>18663692</v>
      </c>
      <c r="G12" s="6">
        <v>18693630</v>
      </c>
      <c r="H12" s="6">
        <v>18820704</v>
      </c>
      <c r="I12" s="6">
        <v>18850320</v>
      </c>
      <c r="J12" s="6">
        <v>18944114</v>
      </c>
      <c r="K12" s="82">
        <v>18981553</v>
      </c>
      <c r="L12" s="82">
        <v>18962537</v>
      </c>
      <c r="M12" s="82">
        <v>18905598</v>
      </c>
      <c r="N12" s="82">
        <v>18892435</v>
      </c>
      <c r="O12" s="82">
        <v>18942032</v>
      </c>
      <c r="P12" s="82">
        <f>R12*P18</f>
        <v>18983149.43390055</v>
      </c>
      <c r="R12" s="175">
        <f t="shared" ref="R12:R17" si="3">AVERAGE(S12:AC12)</f>
        <v>0.67134377131178047</v>
      </c>
      <c r="S12" s="175">
        <f>E12/E$18</f>
        <v>0.67037670814444195</v>
      </c>
      <c r="T12" s="175">
        <f t="shared" ref="T12:AC12" si="4">F12/F$18</f>
        <v>0.67020635112152971</v>
      </c>
      <c r="U12" s="175">
        <f t="shared" si="4"/>
        <v>0.67040084050291027</v>
      </c>
      <c r="V12" s="175">
        <f t="shared" si="4"/>
        <v>0.6712118108317694</v>
      </c>
      <c r="W12" s="175">
        <f t="shared" si="4"/>
        <v>0.67124628092251815</v>
      </c>
      <c r="X12" s="175">
        <f t="shared" si="4"/>
        <v>0.67171087389257367</v>
      </c>
      <c r="Y12" s="175">
        <f t="shared" si="4"/>
        <v>0.67189466261594766</v>
      </c>
      <c r="Z12" s="175">
        <f t="shared" si="4"/>
        <v>0.67202472068013697</v>
      </c>
      <c r="AA12" s="175">
        <f t="shared" si="4"/>
        <v>0.67184698023840872</v>
      </c>
      <c r="AB12" s="175">
        <f t="shared" si="4"/>
        <v>0.67191249234815564</v>
      </c>
      <c r="AC12" s="175">
        <f t="shared" si="4"/>
        <v>0.67194976313119126</v>
      </c>
      <c r="AD12" s="175"/>
    </row>
    <row r="13" spans="2:30">
      <c r="B13" s="629"/>
      <c r="C13" s="619"/>
      <c r="D13" s="4" t="s">
        <v>43</v>
      </c>
      <c r="E13" s="7">
        <v>685352</v>
      </c>
      <c r="F13" s="7">
        <v>685575</v>
      </c>
      <c r="G13" s="7">
        <v>685881</v>
      </c>
      <c r="H13" s="7">
        <v>687903</v>
      </c>
      <c r="I13" s="7">
        <v>688325</v>
      </c>
      <c r="J13" s="7">
        <v>690107</v>
      </c>
      <c r="K13" s="83">
        <v>690850</v>
      </c>
      <c r="L13" s="83">
        <v>689356</v>
      </c>
      <c r="M13" s="83">
        <v>663823</v>
      </c>
      <c r="N13" s="83">
        <v>687110</v>
      </c>
      <c r="O13" s="83">
        <v>664876</v>
      </c>
      <c r="P13" s="83">
        <v>664876</v>
      </c>
      <c r="Q13" s="69">
        <f>SUM(P13:P14)/P12</f>
        <v>0.47210933207928257</v>
      </c>
      <c r="R13" s="175">
        <f t="shared" si="3"/>
        <v>3.6271703296849915E-2</v>
      </c>
      <c r="S13" s="175">
        <f t="shared" ref="S13:AC13" si="5">E13/E12</f>
        <v>3.6738729616122005E-2</v>
      </c>
      <c r="T13" s="175">
        <f t="shared" si="5"/>
        <v>3.6733085822462139E-2</v>
      </c>
      <c r="U13" s="175">
        <f t="shared" si="5"/>
        <v>3.6690626700111216E-2</v>
      </c>
      <c r="V13" s="175">
        <f t="shared" si="5"/>
        <v>3.6550333079995306E-2</v>
      </c>
      <c r="W13" s="175">
        <f t="shared" si="5"/>
        <v>3.6515295231062388E-2</v>
      </c>
      <c r="X13" s="175">
        <f t="shared" si="5"/>
        <v>3.6428570900702985E-2</v>
      </c>
      <c r="Y13" s="175">
        <f t="shared" si="5"/>
        <v>3.6395862867490344E-2</v>
      </c>
      <c r="Z13" s="175">
        <f t="shared" si="5"/>
        <v>3.6353574418865997E-2</v>
      </c>
      <c r="AA13" s="175">
        <f t="shared" si="5"/>
        <v>3.5112510061834593E-2</v>
      </c>
      <c r="AB13" s="175">
        <f t="shared" si="5"/>
        <v>3.6369583910173572E-2</v>
      </c>
      <c r="AC13" s="175">
        <f t="shared" si="5"/>
        <v>3.5100563656528506E-2</v>
      </c>
      <c r="AD13" s="175"/>
    </row>
    <row r="14" spans="2:30">
      <c r="B14" s="629"/>
      <c r="C14" s="619"/>
      <c r="D14" s="5" t="s">
        <v>44</v>
      </c>
      <c r="E14" s="7">
        <v>8300454</v>
      </c>
      <c r="F14" s="7">
        <v>8301710</v>
      </c>
      <c r="G14" s="7">
        <v>8307230</v>
      </c>
      <c r="H14" s="7">
        <v>8354294</v>
      </c>
      <c r="I14" s="7">
        <v>8364570</v>
      </c>
      <c r="J14" s="7">
        <v>8398284</v>
      </c>
      <c r="K14" s="83">
        <v>8401709</v>
      </c>
      <c r="L14" s="83">
        <v>8367557</v>
      </c>
      <c r="M14" s="83">
        <v>8304660</v>
      </c>
      <c r="N14" s="83">
        <v>8285179</v>
      </c>
      <c r="O14" s="83">
        <v>8297246</v>
      </c>
      <c r="P14" s="83">
        <v>8297246</v>
      </c>
      <c r="Q14" s="575"/>
      <c r="R14" s="175">
        <f t="shared" si="3"/>
        <v>0.44225721745065039</v>
      </c>
      <c r="S14" s="175">
        <f t="shared" ref="S14:AC14" si="6">E14/E12</f>
        <v>0.44495111300041196</v>
      </c>
      <c r="T14" s="175">
        <f t="shared" si="6"/>
        <v>0.44480534719497083</v>
      </c>
      <c r="U14" s="175">
        <f t="shared" si="6"/>
        <v>0.44438827557836547</v>
      </c>
      <c r="V14" s="175">
        <f t="shared" si="6"/>
        <v>0.44388849641331163</v>
      </c>
      <c r="W14" s="175">
        <f t="shared" si="6"/>
        <v>0.4437362336554499</v>
      </c>
      <c r="X14" s="175">
        <f t="shared" si="6"/>
        <v>0.4433189116155023</v>
      </c>
      <c r="Y14" s="175">
        <f t="shared" si="6"/>
        <v>0.44262495276334873</v>
      </c>
      <c r="Z14" s="175">
        <f t="shared" si="6"/>
        <v>0.44126780082222122</v>
      </c>
      <c r="AA14" s="175">
        <f t="shared" si="6"/>
        <v>0.43926989244138165</v>
      </c>
      <c r="AB14" s="175">
        <f t="shared" si="6"/>
        <v>0.43854479319367778</v>
      </c>
      <c r="AC14" s="175">
        <f t="shared" si="6"/>
        <v>0.43803357527851289</v>
      </c>
      <c r="AD14" s="175"/>
    </row>
    <row r="15" spans="2:30">
      <c r="B15" s="629"/>
      <c r="C15" s="619" t="s">
        <v>45</v>
      </c>
      <c r="D15" s="3" t="s">
        <v>37</v>
      </c>
      <c r="E15" s="6">
        <v>9172517</v>
      </c>
      <c r="F15" s="6">
        <v>9183988</v>
      </c>
      <c r="G15" s="6">
        <v>9190628</v>
      </c>
      <c r="H15" s="6">
        <v>9219184</v>
      </c>
      <c r="I15" s="6">
        <v>9232249</v>
      </c>
      <c r="J15" s="6">
        <v>9258666</v>
      </c>
      <c r="K15" s="82">
        <v>9269234</v>
      </c>
      <c r="L15" s="82">
        <v>9254486</v>
      </c>
      <c r="M15" s="82">
        <v>9234140</v>
      </c>
      <c r="N15" s="82">
        <v>9224969</v>
      </c>
      <c r="O15" s="82">
        <v>9247623</v>
      </c>
      <c r="P15" s="82">
        <f>R15*P18</f>
        <v>9293197.5660994574</v>
      </c>
      <c r="Q15" s="575"/>
      <c r="R15" s="175">
        <f t="shared" si="3"/>
        <v>0.32865622868821975</v>
      </c>
      <c r="S15" s="175">
        <f>E15/E$18</f>
        <v>0.32962329185555811</v>
      </c>
      <c r="T15" s="175">
        <f t="shared" ref="T15:AC15" si="7">F15/F$18</f>
        <v>0.32979364887847029</v>
      </c>
      <c r="U15" s="175">
        <f t="shared" si="7"/>
        <v>0.32959915949708973</v>
      </c>
      <c r="V15" s="175">
        <f t="shared" si="7"/>
        <v>0.3287881891682306</v>
      </c>
      <c r="W15" s="175">
        <f t="shared" si="7"/>
        <v>0.32875371907748185</v>
      </c>
      <c r="X15" s="175">
        <f t="shared" si="7"/>
        <v>0.32828912610742628</v>
      </c>
      <c r="Y15" s="175">
        <f t="shared" si="7"/>
        <v>0.32810533738405234</v>
      </c>
      <c r="Z15" s="175">
        <f t="shared" si="7"/>
        <v>0.32797527931986303</v>
      </c>
      <c r="AA15" s="175">
        <f t="shared" si="7"/>
        <v>0.32815301976159122</v>
      </c>
      <c r="AB15" s="175">
        <f t="shared" si="7"/>
        <v>0.32808750765184441</v>
      </c>
      <c r="AC15" s="175">
        <f t="shared" si="7"/>
        <v>0.3280502368688088</v>
      </c>
      <c r="AD15" s="175"/>
    </row>
    <row r="16" spans="2:30">
      <c r="B16" s="629"/>
      <c r="C16" s="619"/>
      <c r="D16" s="4" t="s">
        <v>43</v>
      </c>
      <c r="E16" s="7">
        <v>71278</v>
      </c>
      <c r="F16" s="7">
        <v>71417</v>
      </c>
      <c r="G16" s="7">
        <v>71787</v>
      </c>
      <c r="H16" s="7">
        <v>72268</v>
      </c>
      <c r="I16" s="7">
        <v>72451</v>
      </c>
      <c r="J16" s="7">
        <v>72813</v>
      </c>
      <c r="K16" s="83">
        <v>72999</v>
      </c>
      <c r="L16" s="83">
        <v>72936</v>
      </c>
      <c r="M16" s="83">
        <v>72638</v>
      </c>
      <c r="N16" s="83">
        <v>72588</v>
      </c>
      <c r="O16" s="83">
        <v>72626</v>
      </c>
      <c r="P16" s="83">
        <v>72626</v>
      </c>
      <c r="Q16" s="69">
        <f>SUM(P16:P17)/P15</f>
        <v>0.98893711606062318</v>
      </c>
      <c r="R16" s="175">
        <f t="shared" si="3"/>
        <v>7.8412427525655099E-3</v>
      </c>
      <c r="S16" s="175">
        <f t="shared" ref="S16:AC16" si="8">E16/E15</f>
        <v>7.7708223380779781E-3</v>
      </c>
      <c r="T16" s="175">
        <f t="shared" si="8"/>
        <v>7.7762514498059014E-3</v>
      </c>
      <c r="U16" s="175">
        <f t="shared" si="8"/>
        <v>7.8108917040271893E-3</v>
      </c>
      <c r="V16" s="175">
        <f t="shared" si="8"/>
        <v>7.8388716398327656E-3</v>
      </c>
      <c r="W16" s="175">
        <f t="shared" si="8"/>
        <v>7.847600297608958E-3</v>
      </c>
      <c r="X16" s="175">
        <f t="shared" si="8"/>
        <v>7.8643078819346113E-3</v>
      </c>
      <c r="Y16" s="175">
        <f t="shared" si="8"/>
        <v>7.8754080434262422E-3</v>
      </c>
      <c r="Z16" s="175">
        <f t="shared" si="8"/>
        <v>7.8811508278255546E-3</v>
      </c>
      <c r="AA16" s="175">
        <f t="shared" si="8"/>
        <v>7.8662441765015474E-3</v>
      </c>
      <c r="AB16" s="175">
        <f t="shared" si="8"/>
        <v>7.8686443282356827E-3</v>
      </c>
      <c r="AC16" s="175">
        <f t="shared" si="8"/>
        <v>7.8534775909441818E-3</v>
      </c>
      <c r="AD16" s="175"/>
    </row>
    <row r="17" spans="2:30">
      <c r="B17" s="629"/>
      <c r="C17" s="619"/>
      <c r="D17" s="5" t="s">
        <v>44</v>
      </c>
      <c r="E17" s="7">
        <v>9045916</v>
      </c>
      <c r="F17" s="7">
        <v>9057029</v>
      </c>
      <c r="G17" s="7">
        <v>9063173</v>
      </c>
      <c r="H17" s="7">
        <v>9090910</v>
      </c>
      <c r="I17" s="7">
        <v>9103650</v>
      </c>
      <c r="J17" s="7">
        <v>9129467</v>
      </c>
      <c r="K17" s="83">
        <v>9139696</v>
      </c>
      <c r="L17" s="83">
        <v>9124977</v>
      </c>
      <c r="M17" s="83">
        <v>9104695</v>
      </c>
      <c r="N17" s="83">
        <v>9095537</v>
      </c>
      <c r="O17" s="83">
        <v>9117762</v>
      </c>
      <c r="P17" s="83">
        <v>9117762</v>
      </c>
      <c r="R17" s="175">
        <f t="shared" si="3"/>
        <v>0.98605889158274029</v>
      </c>
      <c r="S17" s="175">
        <f t="shared" ref="S17:AC17" si="9">E17/E15</f>
        <v>0.98619779063914514</v>
      </c>
      <c r="T17" s="175">
        <f t="shared" si="9"/>
        <v>0.98617604901051703</v>
      </c>
      <c r="U17" s="175">
        <f t="shared" si="9"/>
        <v>0.98613206845059986</v>
      </c>
      <c r="V17" s="175">
        <f t="shared" si="9"/>
        <v>0.98608618723739538</v>
      </c>
      <c r="W17" s="175">
        <f t="shared" si="9"/>
        <v>0.98607067465359743</v>
      </c>
      <c r="X17" s="175">
        <f t="shared" si="9"/>
        <v>0.98604561391457468</v>
      </c>
      <c r="Y17" s="175">
        <f t="shared" si="9"/>
        <v>0.98602495092906273</v>
      </c>
      <c r="Z17" s="175">
        <f t="shared" si="9"/>
        <v>0.98600581382909869</v>
      </c>
      <c r="AA17" s="175">
        <f t="shared" si="9"/>
        <v>0.98598191060564389</v>
      </c>
      <c r="AB17" s="175">
        <f t="shared" si="9"/>
        <v>0.98596938374535459</v>
      </c>
      <c r="AC17" s="175">
        <f t="shared" si="9"/>
        <v>0.98595736439515325</v>
      </c>
      <c r="AD17" s="175"/>
    </row>
    <row r="18" spans="2:30">
      <c r="B18" s="77"/>
      <c r="D18" s="84"/>
      <c r="E18" s="81">
        <f t="array" ref="E18:P18">TRANSPOSE(D31:D42)</f>
        <v>27827272</v>
      </c>
      <c r="F18" s="81">
        <v>27847680</v>
      </c>
      <c r="G18" s="81">
        <v>27884258</v>
      </c>
      <c r="H18" s="81">
        <v>28039888</v>
      </c>
      <c r="I18" s="81">
        <v>28082569</v>
      </c>
      <c r="J18" s="81">
        <v>28202780</v>
      </c>
      <c r="K18" s="81">
        <v>28250787</v>
      </c>
      <c r="L18" s="81">
        <v>28217023</v>
      </c>
      <c r="M18" s="81">
        <v>28139738</v>
      </c>
      <c r="N18" s="81">
        <v>28117404</v>
      </c>
      <c r="O18" s="81">
        <v>28189655</v>
      </c>
      <c r="P18" s="81">
        <v>28276347</v>
      </c>
    </row>
    <row r="19" spans="2:30">
      <c r="B19" s="77"/>
      <c r="D19" s="84"/>
      <c r="E19" s="81">
        <f>E18-SUM(E15,E12)</f>
        <v>0</v>
      </c>
      <c r="F19" s="81">
        <f t="shared" ref="F19:P19" si="10">F18-SUM(F15,F12)</f>
        <v>0</v>
      </c>
      <c r="G19" s="81">
        <f t="shared" si="10"/>
        <v>0</v>
      </c>
      <c r="H19" s="81">
        <f t="shared" si="10"/>
        <v>0</v>
      </c>
      <c r="I19" s="81">
        <f t="shared" si="10"/>
        <v>0</v>
      </c>
      <c r="J19" s="81">
        <f t="shared" si="10"/>
        <v>0</v>
      </c>
      <c r="K19" s="81">
        <f t="shared" si="10"/>
        <v>0</v>
      </c>
      <c r="L19" s="81">
        <f t="shared" si="10"/>
        <v>0</v>
      </c>
      <c r="M19" s="81">
        <f t="shared" si="10"/>
        <v>0</v>
      </c>
      <c r="N19" s="81">
        <f t="shared" si="10"/>
        <v>0</v>
      </c>
      <c r="O19" s="81">
        <f t="shared" si="10"/>
        <v>0</v>
      </c>
      <c r="P19" s="81">
        <f t="shared" si="10"/>
        <v>0</v>
      </c>
      <c r="R19" s="136"/>
      <c r="S19" s="136"/>
      <c r="T19" s="136"/>
      <c r="U19" s="136"/>
      <c r="V19" s="136"/>
      <c r="W19" s="136"/>
      <c r="X19" s="136"/>
      <c r="Y19" s="136"/>
      <c r="Z19" s="136"/>
      <c r="AA19" s="136"/>
      <c r="AB19" s="136"/>
      <c r="AC19" s="136"/>
    </row>
    <row r="20" spans="2:30">
      <c r="B20" s="77"/>
      <c r="D20" s="84"/>
      <c r="E20" s="81"/>
      <c r="F20" s="81"/>
      <c r="G20" s="81"/>
      <c r="H20" s="81"/>
      <c r="I20" s="81"/>
      <c r="J20" s="81"/>
      <c r="K20" s="81"/>
      <c r="L20" s="81"/>
      <c r="M20" s="81"/>
      <c r="N20" s="81"/>
      <c r="O20" s="81"/>
      <c r="P20" s="81"/>
      <c r="R20" s="136"/>
      <c r="S20" s="136"/>
      <c r="T20" s="136"/>
      <c r="U20" s="136"/>
      <c r="V20" s="136"/>
      <c r="W20" s="136"/>
      <c r="X20" s="136"/>
      <c r="Y20" s="136"/>
      <c r="Z20" s="136"/>
      <c r="AA20" s="136"/>
      <c r="AB20" s="136"/>
      <c r="AC20" s="136"/>
    </row>
    <row r="21" spans="2:30">
      <c r="B21" t="s">
        <v>63</v>
      </c>
      <c r="E21" s="2">
        <v>42005</v>
      </c>
      <c r="F21" s="2">
        <v>42036</v>
      </c>
      <c r="G21" s="2">
        <v>42064</v>
      </c>
      <c r="H21" s="2">
        <v>42095</v>
      </c>
      <c r="I21" s="2">
        <v>42125</v>
      </c>
      <c r="J21" s="2">
        <v>42156</v>
      </c>
      <c r="K21" s="2">
        <v>42186</v>
      </c>
      <c r="L21" s="2">
        <v>42217</v>
      </c>
      <c r="M21" s="2">
        <v>42248</v>
      </c>
      <c r="N21" s="2">
        <v>42278</v>
      </c>
      <c r="O21" s="2">
        <v>42309</v>
      </c>
      <c r="P21" s="2">
        <v>42339</v>
      </c>
      <c r="Q21" s="7"/>
    </row>
    <row r="22" spans="2:30" ht="12" customHeight="1">
      <c r="B22" s="628" t="s">
        <v>64</v>
      </c>
      <c r="C22" s="619" t="s">
        <v>41</v>
      </c>
      <c r="D22" s="3" t="s">
        <v>37</v>
      </c>
      <c r="E22" s="80"/>
      <c r="F22" s="80"/>
      <c r="G22" s="6">
        <v>24490282524.937847</v>
      </c>
      <c r="H22" s="80"/>
      <c r="I22" s="80"/>
      <c r="J22" s="80"/>
      <c r="K22" s="82">
        <v>24895469988.210758</v>
      </c>
      <c r="L22" s="82">
        <v>24903934917.260235</v>
      </c>
      <c r="M22" s="82">
        <v>24919261803.649914</v>
      </c>
      <c r="O22" s="82">
        <v>23009291394.859692</v>
      </c>
      <c r="P22" s="80"/>
    </row>
    <row r="23" spans="2:30">
      <c r="B23" s="629"/>
      <c r="C23" s="619"/>
      <c r="D23" s="4" t="s">
        <v>43</v>
      </c>
      <c r="E23" s="81"/>
      <c r="F23" s="81"/>
      <c r="G23" s="7">
        <v>283740209.95997268</v>
      </c>
      <c r="H23" s="81"/>
      <c r="I23" s="81"/>
      <c r="J23" s="81"/>
      <c r="K23" s="83">
        <v>286894740.6799913</v>
      </c>
      <c r="L23" s="83">
        <v>286459192.13000298</v>
      </c>
      <c r="M23" s="83">
        <v>281529286.33001262</v>
      </c>
      <c r="O23" s="83">
        <v>282290230.22002202</v>
      </c>
      <c r="P23" s="81"/>
    </row>
    <row r="24" spans="2:30">
      <c r="B24" s="629"/>
      <c r="C24" s="619"/>
      <c r="D24" s="5" t="s">
        <v>44</v>
      </c>
      <c r="E24" s="81"/>
      <c r="F24" s="81"/>
      <c r="G24" s="7">
        <v>6546097240</v>
      </c>
      <c r="H24" s="81"/>
      <c r="I24" s="81"/>
      <c r="J24" s="81"/>
      <c r="K24" s="83">
        <v>6620546692</v>
      </c>
      <c r="L24" s="83">
        <v>6593634916</v>
      </c>
      <c r="M24" s="83">
        <v>6544072080</v>
      </c>
      <c r="O24" s="83">
        <v>6538229848</v>
      </c>
      <c r="P24" s="81"/>
    </row>
    <row r="25" spans="2:30">
      <c r="B25" s="629"/>
      <c r="C25" s="619" t="s">
        <v>45</v>
      </c>
      <c r="D25" s="3" t="s">
        <v>37</v>
      </c>
      <c r="E25" s="80"/>
      <c r="F25" s="80"/>
      <c r="G25" s="6">
        <v>7235824524.079999</v>
      </c>
      <c r="H25" s="80"/>
      <c r="I25" s="80"/>
      <c r="J25" s="80"/>
      <c r="K25" s="82">
        <v>7297448500.7799892</v>
      </c>
      <c r="L25" s="82">
        <v>7285843210.4599991</v>
      </c>
      <c r="M25" s="82">
        <v>7270475580.2899923</v>
      </c>
      <c r="N25" s="80"/>
      <c r="O25" s="82">
        <v>7281251771.139986</v>
      </c>
      <c r="P25" s="80"/>
    </row>
    <row r="26" spans="2:30">
      <c r="B26" s="629"/>
      <c r="C26" s="619"/>
      <c r="D26" s="4" t="s">
        <v>43</v>
      </c>
      <c r="E26" s="81"/>
      <c r="F26" s="81"/>
      <c r="G26" s="7">
        <v>25758877.009998687</v>
      </c>
      <c r="H26" s="81"/>
      <c r="I26" s="81"/>
      <c r="J26" s="81"/>
      <c r="K26" s="83">
        <v>26193149.259997673</v>
      </c>
      <c r="L26" s="83">
        <v>26171685.930002451</v>
      </c>
      <c r="M26" s="83">
        <v>26484004.519997433</v>
      </c>
      <c r="N26" s="81"/>
      <c r="O26" s="83">
        <v>26475342.509997256</v>
      </c>
      <c r="P26" s="81"/>
    </row>
    <row r="27" spans="2:30">
      <c r="B27" s="629"/>
      <c r="C27" s="619"/>
      <c r="D27" s="5" t="s">
        <v>44</v>
      </c>
      <c r="E27" s="81"/>
      <c r="F27" s="81"/>
      <c r="G27" s="7">
        <v>7141780324</v>
      </c>
      <c r="H27" s="81"/>
      <c r="I27" s="81"/>
      <c r="J27" s="81"/>
      <c r="K27" s="83">
        <v>7202080448</v>
      </c>
      <c r="L27" s="83">
        <v>7190481876</v>
      </c>
      <c r="M27" s="83">
        <v>7174499660</v>
      </c>
      <c r="N27" s="81"/>
      <c r="O27" s="83">
        <v>7184796456</v>
      </c>
      <c r="P27" s="81"/>
    </row>
    <row r="28" spans="2:30">
      <c r="B28" s="77"/>
      <c r="C28" t="s">
        <v>37</v>
      </c>
      <c r="D28" s="84"/>
      <c r="E28" s="81">
        <f t="array" ref="E28:P28">TRANSPOSE(E31:E42)</f>
        <v>28815603664.559944</v>
      </c>
      <c r="F28" s="81">
        <v>28794913874.529713</v>
      </c>
      <c r="G28" s="81">
        <v>28861470666.999649</v>
      </c>
      <c r="H28" s="81">
        <v>29037619663.389923</v>
      </c>
      <c r="I28" s="81">
        <v>29094166641.809967</v>
      </c>
      <c r="J28" s="81">
        <v>29227794507.220314</v>
      </c>
      <c r="K28" s="81">
        <v>29273133791.159882</v>
      </c>
      <c r="L28" s="81">
        <v>29242757567.520008</v>
      </c>
      <c r="M28" s="81">
        <v>44565354705.479706</v>
      </c>
      <c r="N28" s="81">
        <v>29159203655.17968</v>
      </c>
      <c r="O28" s="81">
        <v>44907122780.720459</v>
      </c>
      <c r="P28" s="81">
        <v>29235078797.909966</v>
      </c>
    </row>
    <row r="29" spans="2:30"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</row>
    <row r="30" spans="2:30">
      <c r="D30" s="1" t="s">
        <v>46</v>
      </c>
      <c r="E30" s="1" t="s">
        <v>68</v>
      </c>
    </row>
    <row r="31" spans="2:30">
      <c r="B31" s="96" t="s">
        <v>65</v>
      </c>
      <c r="C31" s="85" t="s">
        <v>27</v>
      </c>
      <c r="D31" s="88">
        <v>27827272</v>
      </c>
      <c r="E31" s="88">
        <v>28815603664.559944</v>
      </c>
      <c r="L31" s="2">
        <v>42064</v>
      </c>
      <c r="M31" s="2">
        <v>42186</v>
      </c>
      <c r="N31" s="2">
        <v>42217</v>
      </c>
      <c r="O31" s="2">
        <v>42248</v>
      </c>
      <c r="P31" s="2">
        <v>42309</v>
      </c>
      <c r="Q31" s="2"/>
    </row>
    <row r="32" spans="2:30">
      <c r="B32" s="96"/>
      <c r="C32" s="85" t="s">
        <v>28</v>
      </c>
      <c r="D32" s="88">
        <v>27847680</v>
      </c>
      <c r="E32" s="88">
        <v>28794913874.529713</v>
      </c>
      <c r="I32" s="628" t="s">
        <v>64</v>
      </c>
      <c r="J32" s="619" t="s">
        <v>41</v>
      </c>
      <c r="K32" s="3" t="s">
        <v>37</v>
      </c>
      <c r="L32" s="6">
        <v>24490282524.937847</v>
      </c>
      <c r="M32" s="82">
        <v>24895469988.210758</v>
      </c>
      <c r="N32" s="82">
        <v>24903934917.260235</v>
      </c>
      <c r="O32" s="82">
        <v>24919261803.649914</v>
      </c>
      <c r="P32" s="82">
        <v>23009291394.859692</v>
      </c>
      <c r="Q32" s="80"/>
    </row>
    <row r="33" spans="2:21">
      <c r="B33" s="96"/>
      <c r="C33" s="85" t="s">
        <v>29</v>
      </c>
      <c r="D33" s="88">
        <v>27884258</v>
      </c>
      <c r="E33" s="88">
        <v>28861470666.999649</v>
      </c>
      <c r="I33" s="629"/>
      <c r="J33" s="619"/>
      <c r="K33" s="4" t="s">
        <v>43</v>
      </c>
      <c r="L33" s="7">
        <v>283740209.95997268</v>
      </c>
      <c r="M33" s="83">
        <v>286894740.6799913</v>
      </c>
      <c r="N33" s="83">
        <v>286459192.13000298</v>
      </c>
      <c r="O33" s="83">
        <v>281529286.33001262</v>
      </c>
      <c r="P33" s="83">
        <v>282290230.22002202</v>
      </c>
      <c r="Q33" s="81"/>
      <c r="R33">
        <f>SUM(L33:L34)/L32</f>
        <v>0.27887948793589123</v>
      </c>
      <c r="S33">
        <f>SUM(M33:M34)/M32</f>
        <v>0.27745776384020904</v>
      </c>
      <c r="T33">
        <f>SUM(N33:N34)/N32</f>
        <v>0.27626534244440215</v>
      </c>
      <c r="U33">
        <f>SUM(O33:O34)/O32</f>
        <v>0.27390865026869571</v>
      </c>
    </row>
    <row r="34" spans="2:21">
      <c r="B34" s="96"/>
      <c r="C34" s="85" t="s">
        <v>30</v>
      </c>
      <c r="D34" s="88">
        <v>28039888</v>
      </c>
      <c r="E34" s="88">
        <v>29037619663.389923</v>
      </c>
      <c r="I34" s="629"/>
      <c r="J34" s="619"/>
      <c r="K34" s="5" t="s">
        <v>44</v>
      </c>
      <c r="L34" s="7">
        <v>6546097240</v>
      </c>
      <c r="M34" s="83">
        <v>6620546692</v>
      </c>
      <c r="N34" s="83">
        <v>6593634916</v>
      </c>
      <c r="O34" s="83">
        <v>6544072080</v>
      </c>
      <c r="P34" s="83">
        <v>6538229848</v>
      </c>
      <c r="Q34" s="81"/>
    </row>
    <row r="35" spans="2:21">
      <c r="B35" s="96"/>
      <c r="C35" s="85" t="s">
        <v>31</v>
      </c>
      <c r="D35" s="88">
        <v>28082569</v>
      </c>
      <c r="E35" s="88">
        <v>29094166641.809967</v>
      </c>
      <c r="I35" s="629"/>
      <c r="J35" s="619" t="s">
        <v>45</v>
      </c>
      <c r="K35" s="3" t="s">
        <v>37</v>
      </c>
      <c r="L35" s="6">
        <v>7235824524.079999</v>
      </c>
      <c r="M35" s="82">
        <v>7297448500.7799892</v>
      </c>
      <c r="N35" s="82">
        <v>7285843210.4599991</v>
      </c>
      <c r="O35" s="82">
        <v>7270475580.2899923</v>
      </c>
      <c r="P35" s="82">
        <v>7281251771.139986</v>
      </c>
      <c r="Q35" s="80"/>
    </row>
    <row r="36" spans="2:21">
      <c r="B36" s="96"/>
      <c r="C36" s="85" t="s">
        <v>32</v>
      </c>
      <c r="D36" s="88">
        <v>28202780</v>
      </c>
      <c r="E36" s="88">
        <v>29227794507.220314</v>
      </c>
      <c r="I36" s="629"/>
      <c r="J36" s="619"/>
      <c r="K36" s="4" t="s">
        <v>43</v>
      </c>
      <c r="L36" s="7">
        <v>25758877.009998687</v>
      </c>
      <c r="M36" s="83">
        <v>26193149.259997673</v>
      </c>
      <c r="N36" s="83">
        <v>26171685.930002451</v>
      </c>
      <c r="O36" s="83">
        <v>26484004.519997433</v>
      </c>
      <c r="P36" s="83">
        <v>26475342.509997256</v>
      </c>
      <c r="Q36" s="81"/>
      <c r="R36">
        <f>SUM(L36:L37)/L35</f>
        <v>0.99056288293852968</v>
      </c>
      <c r="S36">
        <f>SUM(M36:M37)/M35</f>
        <v>0.99052067260048526</v>
      </c>
      <c r="T36">
        <f>SUM(N36:N37)/N35</f>
        <v>0.99050354961925835</v>
      </c>
      <c r="U36">
        <f>SUM(O36:O37)/O35</f>
        <v>0.99044190232089013</v>
      </c>
    </row>
    <row r="37" spans="2:21">
      <c r="B37" s="96"/>
      <c r="C37" s="85" t="s">
        <v>33</v>
      </c>
      <c r="D37" s="88">
        <v>28250787</v>
      </c>
      <c r="E37" s="88">
        <v>29273133791.159882</v>
      </c>
      <c r="I37" s="629"/>
      <c r="J37" s="619"/>
      <c r="K37" s="5" t="s">
        <v>44</v>
      </c>
      <c r="L37" s="7">
        <v>7141780324</v>
      </c>
      <c r="M37" s="83">
        <v>7202080448</v>
      </c>
      <c r="N37" s="83">
        <v>7190481876</v>
      </c>
      <c r="O37" s="83">
        <v>7174499660</v>
      </c>
      <c r="P37" s="83">
        <v>7184796456</v>
      </c>
      <c r="Q37" s="81"/>
    </row>
    <row r="38" spans="2:21">
      <c r="B38" s="96"/>
      <c r="C38" s="85" t="s">
        <v>34</v>
      </c>
      <c r="D38" s="88">
        <v>28217023</v>
      </c>
      <c r="E38" s="88">
        <v>29242757567.520008</v>
      </c>
    </row>
    <row r="39" spans="2:21">
      <c r="B39" s="96"/>
      <c r="C39" s="85" t="s">
        <v>35</v>
      </c>
      <c r="D39" s="88">
        <v>28139738</v>
      </c>
      <c r="E39" s="88">
        <v>44565354705.479706</v>
      </c>
      <c r="K39">
        <f>AVERAGE(R33:U33)</f>
        <v>0.27662781112229951</v>
      </c>
    </row>
    <row r="40" spans="2:21">
      <c r="B40" s="96"/>
      <c r="C40" s="85" t="s">
        <v>36</v>
      </c>
      <c r="D40" s="88">
        <v>28117404</v>
      </c>
      <c r="E40" s="88">
        <v>29159203655.17968</v>
      </c>
      <c r="K40">
        <f>AVERAGE(R36:U36)</f>
        <v>0.99050725186979083</v>
      </c>
    </row>
    <row r="41" spans="2:21">
      <c r="B41" s="96"/>
      <c r="C41" s="85" t="s">
        <v>66</v>
      </c>
      <c r="D41" s="88">
        <v>28189655</v>
      </c>
      <c r="E41" s="88">
        <v>44907122780.720459</v>
      </c>
    </row>
    <row r="42" spans="2:21">
      <c r="B42" s="86"/>
      <c r="C42" s="87" t="s">
        <v>26</v>
      </c>
      <c r="D42" s="89">
        <v>28276347</v>
      </c>
      <c r="E42" s="89">
        <v>29235078797.909966</v>
      </c>
    </row>
    <row r="43" spans="2:21">
      <c r="B43" s="97"/>
      <c r="C43" s="98" t="s">
        <v>67</v>
      </c>
      <c r="D43" s="90">
        <f>SUM(D31:D42)</f>
        <v>337075401</v>
      </c>
      <c r="E43" s="90">
        <f>SUM(E31:E42)</f>
        <v>380214220316.47919</v>
      </c>
      <c r="H43" s="24">
        <v>0.37703859870203044</v>
      </c>
      <c r="I43">
        <f>$E$43*H43</f>
        <v>143355436834.71039</v>
      </c>
    </row>
    <row r="44" spans="2:21">
      <c r="H44" s="24">
        <v>0.62296140129796951</v>
      </c>
      <c r="I44">
        <f>$E$43*H44</f>
        <v>236858783481.76877</v>
      </c>
    </row>
  </sheetData>
  <mergeCells count="17">
    <mergeCell ref="I32:I37"/>
    <mergeCell ref="J32:J34"/>
    <mergeCell ref="J35:J37"/>
    <mergeCell ref="C12:C14"/>
    <mergeCell ref="C15:C17"/>
    <mergeCell ref="C22:C24"/>
    <mergeCell ref="C25:C27"/>
    <mergeCell ref="M3:M8"/>
    <mergeCell ref="M9:O9"/>
    <mergeCell ref="B3:B8"/>
    <mergeCell ref="B22:B27"/>
    <mergeCell ref="B12:B17"/>
    <mergeCell ref="P1:Q1"/>
    <mergeCell ref="N3:N5"/>
    <mergeCell ref="N6:N8"/>
    <mergeCell ref="S1:V1"/>
    <mergeCell ref="R10:AD10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L203"/>
  <sheetViews>
    <sheetView showGridLines="0" workbookViewId="0">
      <selection activeCell="F13" sqref="F13"/>
    </sheetView>
  </sheetViews>
  <sheetFormatPr defaultRowHeight="15"/>
  <cols>
    <col min="1" max="1" width="28" customWidth="1"/>
    <col min="2" max="2" width="17.85546875" bestFit="1" customWidth="1"/>
    <col min="3" max="7" width="16.85546875" bestFit="1" customWidth="1"/>
    <col min="8" max="13" width="18" bestFit="1" customWidth="1"/>
    <col min="14" max="14" width="18" style="9" bestFit="1" customWidth="1"/>
    <col min="15" max="25" width="16.85546875" bestFit="1" customWidth="1"/>
    <col min="26" max="26" width="16.85546875" style="9" bestFit="1" customWidth="1"/>
    <col min="27" max="29" width="16.85546875" bestFit="1" customWidth="1"/>
    <col min="30" max="37" width="18" bestFit="1" customWidth="1"/>
    <col min="38" max="38" width="18" style="9" bestFit="1" customWidth="1"/>
  </cols>
  <sheetData>
    <row r="1" spans="1:38">
      <c r="A1" t="s">
        <v>0</v>
      </c>
      <c r="B1" t="s">
        <v>2</v>
      </c>
      <c r="C1" t="s">
        <v>1</v>
      </c>
    </row>
    <row r="2" spans="1:38">
      <c r="A2" t="s">
        <v>77</v>
      </c>
      <c r="B2" t="s">
        <v>21</v>
      </c>
      <c r="C2" t="s">
        <v>4</v>
      </c>
      <c r="D2" t="s">
        <v>4</v>
      </c>
      <c r="E2" t="s">
        <v>4</v>
      </c>
      <c r="F2" t="s">
        <v>4</v>
      </c>
      <c r="G2" t="s">
        <v>4</v>
      </c>
      <c r="H2" t="s">
        <v>4</v>
      </c>
      <c r="I2" t="s">
        <v>4</v>
      </c>
      <c r="J2" t="s">
        <v>4</v>
      </c>
      <c r="K2" t="s">
        <v>4</v>
      </c>
      <c r="L2" t="s">
        <v>4</v>
      </c>
      <c r="M2" t="s">
        <v>4</v>
      </c>
      <c r="N2" s="9" t="s">
        <v>4</v>
      </c>
      <c r="O2" t="s">
        <v>19</v>
      </c>
      <c r="P2" t="s">
        <v>19</v>
      </c>
      <c r="Q2" t="s">
        <v>19</v>
      </c>
      <c r="R2" t="s">
        <v>19</v>
      </c>
      <c r="S2" t="s">
        <v>19</v>
      </c>
      <c r="T2" t="s">
        <v>19</v>
      </c>
      <c r="U2" t="s">
        <v>19</v>
      </c>
      <c r="V2" t="s">
        <v>19</v>
      </c>
      <c r="W2" t="s">
        <v>19</v>
      </c>
      <c r="X2" t="s">
        <v>19</v>
      </c>
      <c r="Y2" t="s">
        <v>19</v>
      </c>
      <c r="Z2" s="9" t="s">
        <v>19</v>
      </c>
      <c r="AA2" t="s">
        <v>3</v>
      </c>
      <c r="AB2" t="s">
        <v>3</v>
      </c>
      <c r="AC2" t="s">
        <v>3</v>
      </c>
      <c r="AD2" t="s">
        <v>3</v>
      </c>
      <c r="AE2" t="s">
        <v>3</v>
      </c>
      <c r="AF2" t="s">
        <v>3</v>
      </c>
      <c r="AG2" t="s">
        <v>3</v>
      </c>
      <c r="AH2" t="s">
        <v>3</v>
      </c>
      <c r="AI2" t="s">
        <v>3</v>
      </c>
      <c r="AJ2" t="s">
        <v>3</v>
      </c>
      <c r="AK2" t="s">
        <v>3</v>
      </c>
      <c r="AL2" s="9" t="s">
        <v>3</v>
      </c>
    </row>
    <row r="3" spans="1:38">
      <c r="C3">
        <v>2002</v>
      </c>
      <c r="D3">
        <v>2003</v>
      </c>
      <c r="E3">
        <v>2004</v>
      </c>
      <c r="F3">
        <v>2005</v>
      </c>
      <c r="G3">
        <v>2006</v>
      </c>
      <c r="H3">
        <v>2007</v>
      </c>
      <c r="I3">
        <v>2008</v>
      </c>
      <c r="J3">
        <v>2009</v>
      </c>
      <c r="K3">
        <v>2010</v>
      </c>
      <c r="L3">
        <v>2011</v>
      </c>
      <c r="M3">
        <v>2012</v>
      </c>
      <c r="N3" s="9">
        <v>2013</v>
      </c>
      <c r="O3">
        <v>2002</v>
      </c>
      <c r="P3">
        <v>2003</v>
      </c>
      <c r="Q3">
        <v>2004</v>
      </c>
      <c r="R3">
        <v>2005</v>
      </c>
      <c r="S3">
        <v>2006</v>
      </c>
      <c r="T3">
        <v>2007</v>
      </c>
      <c r="U3">
        <v>2008</v>
      </c>
      <c r="V3">
        <v>2009</v>
      </c>
      <c r="W3">
        <v>2010</v>
      </c>
      <c r="X3">
        <v>2011</v>
      </c>
      <c r="Y3">
        <v>2012</v>
      </c>
      <c r="Z3" s="9">
        <v>2013</v>
      </c>
      <c r="AA3">
        <v>2002</v>
      </c>
      <c r="AB3">
        <v>2003</v>
      </c>
      <c r="AC3">
        <v>2004</v>
      </c>
      <c r="AD3">
        <v>2005</v>
      </c>
      <c r="AE3">
        <v>2006</v>
      </c>
      <c r="AF3">
        <v>2007</v>
      </c>
      <c r="AG3">
        <v>2008</v>
      </c>
      <c r="AH3">
        <v>2009</v>
      </c>
      <c r="AI3">
        <v>2010</v>
      </c>
      <c r="AJ3">
        <v>2011</v>
      </c>
      <c r="AK3">
        <v>2012</v>
      </c>
      <c r="AL3" s="9">
        <v>2013</v>
      </c>
    </row>
    <row r="4" spans="1:38">
      <c r="A4" s="104" t="s">
        <v>70</v>
      </c>
      <c r="B4" t="s">
        <v>3</v>
      </c>
      <c r="C4" s="580">
        <v>5538603803.4997301</v>
      </c>
      <c r="D4" s="580">
        <v>6939743878</v>
      </c>
      <c r="E4" s="580">
        <v>7955597102</v>
      </c>
      <c r="F4" s="580">
        <v>8978429770</v>
      </c>
      <c r="G4" s="580">
        <v>9936020911.8018208</v>
      </c>
      <c r="H4" s="580">
        <v>10651257630.8801</v>
      </c>
      <c r="I4" s="580">
        <v>11737978987.870701</v>
      </c>
      <c r="J4" s="580">
        <v>13100363749.7299</v>
      </c>
      <c r="K4" s="580">
        <v>14837852162.509501</v>
      </c>
      <c r="L4" s="580">
        <v>16458415324.4503</v>
      </c>
      <c r="M4" s="580">
        <v>18514522490.220001</v>
      </c>
      <c r="N4" s="592">
        <v>20790808482.788502</v>
      </c>
      <c r="O4" s="580">
        <v>1328148716.1099999</v>
      </c>
      <c r="P4" s="580">
        <v>1638538010</v>
      </c>
      <c r="Q4" s="580">
        <v>1823082394</v>
      </c>
      <c r="R4" s="580">
        <v>2154402242</v>
      </c>
      <c r="S4" s="580">
        <v>2568748475.9200001</v>
      </c>
      <c r="T4" s="580">
        <v>2859183247.5700002</v>
      </c>
      <c r="U4" s="580">
        <v>3220464915.3800001</v>
      </c>
      <c r="V4" s="580">
        <v>3724403370.7799802</v>
      </c>
      <c r="W4" s="580">
        <v>4211162130.75001</v>
      </c>
      <c r="X4" s="580">
        <v>4616067893.3999796</v>
      </c>
      <c r="Y4" s="580">
        <v>5411868101.23001</v>
      </c>
      <c r="Z4" s="592">
        <v>6068390297.76999</v>
      </c>
      <c r="AA4" s="580">
        <v>6866752519.6097202</v>
      </c>
      <c r="AB4" s="580">
        <v>8578281888</v>
      </c>
      <c r="AC4" s="580">
        <v>9778679496</v>
      </c>
      <c r="AD4" s="580">
        <v>11132832012</v>
      </c>
      <c r="AE4" s="580">
        <v>12504769387.7218</v>
      </c>
      <c r="AF4" s="580">
        <v>13510440878.4501</v>
      </c>
      <c r="AG4" s="580">
        <v>14958443903.2507</v>
      </c>
      <c r="AH4" s="580">
        <v>16824767120.5098</v>
      </c>
      <c r="AI4" s="580">
        <v>19049014293.259499</v>
      </c>
      <c r="AJ4" s="580">
        <v>21074483217.8503</v>
      </c>
      <c r="AK4" s="580">
        <v>23926390591.450001</v>
      </c>
      <c r="AL4" s="592">
        <v>26859198780.558498</v>
      </c>
    </row>
    <row r="5" spans="1:38">
      <c r="B5" t="s">
        <v>5</v>
      </c>
      <c r="C5" s="580">
        <v>45080928.270019099</v>
      </c>
      <c r="D5" s="580">
        <v>54326696</v>
      </c>
      <c r="E5" s="580">
        <v>60361610</v>
      </c>
      <c r="F5" s="580">
        <v>72791425</v>
      </c>
      <c r="G5" s="580">
        <v>90274928.170015201</v>
      </c>
      <c r="H5" s="580">
        <v>101036678.010012</v>
      </c>
      <c r="I5" s="580">
        <v>114629503.680015</v>
      </c>
      <c r="J5" s="580">
        <v>135172461.919943</v>
      </c>
      <c r="K5" s="580">
        <v>153334475.62000999</v>
      </c>
      <c r="L5" s="580">
        <v>169170925.02998799</v>
      </c>
      <c r="M5" s="580">
        <v>204796832.87001601</v>
      </c>
      <c r="N5" s="592">
        <v>233270510.71000999</v>
      </c>
      <c r="O5" s="580">
        <v>2212277.39000005</v>
      </c>
      <c r="P5" s="580">
        <v>2968163</v>
      </c>
      <c r="Q5" s="580">
        <v>3601667</v>
      </c>
      <c r="R5" s="580">
        <v>4623464</v>
      </c>
      <c r="S5" s="580">
        <v>6105413.0399992196</v>
      </c>
      <c r="T5" s="580">
        <v>7362813.3099969001</v>
      </c>
      <c r="U5" s="580">
        <v>8605182.5799966604</v>
      </c>
      <c r="V5" s="580">
        <v>10734007.2199963</v>
      </c>
      <c r="W5" s="580">
        <v>12729833.310001001</v>
      </c>
      <c r="X5" s="580">
        <v>14618346.1499923</v>
      </c>
      <c r="Y5" s="580">
        <v>17854377.750001598</v>
      </c>
      <c r="Z5" s="592">
        <v>20862185.779996902</v>
      </c>
      <c r="AA5" s="580">
        <v>47293205.6600191</v>
      </c>
      <c r="AB5" s="580">
        <v>57294859</v>
      </c>
      <c r="AC5" s="580">
        <v>63963277</v>
      </c>
      <c r="AD5" s="580">
        <v>77414889</v>
      </c>
      <c r="AE5" s="580">
        <v>96380341.210014403</v>
      </c>
      <c r="AF5" s="580">
        <v>108399491.32000899</v>
      </c>
      <c r="AG5" s="580">
        <v>123234686.260012</v>
      </c>
      <c r="AH5" s="580">
        <v>145906469.13993901</v>
      </c>
      <c r="AI5" s="580">
        <v>166064308.930011</v>
      </c>
      <c r="AJ5" s="580">
        <v>183789271.17998001</v>
      </c>
      <c r="AK5" s="580">
        <v>222651210.62001699</v>
      </c>
      <c r="AL5" s="592">
        <v>254132696.49000701</v>
      </c>
    </row>
    <row r="6" spans="1:38">
      <c r="B6" t="s">
        <v>6</v>
      </c>
      <c r="C6" s="580">
        <v>950272400</v>
      </c>
      <c r="D6" s="580">
        <v>1147365600</v>
      </c>
      <c r="E6" s="580">
        <v>1313731380</v>
      </c>
      <c r="F6" s="580">
        <v>1628582100</v>
      </c>
      <c r="G6" s="580">
        <v>2034992750</v>
      </c>
      <c r="H6" s="580">
        <v>2300196620</v>
      </c>
      <c r="I6" s="580">
        <v>2614735720</v>
      </c>
      <c r="J6" s="580">
        <v>3100017825</v>
      </c>
      <c r="K6" s="580">
        <v>3497048070</v>
      </c>
      <c r="L6" s="580">
        <v>3801658400</v>
      </c>
      <c r="M6" s="580">
        <v>4719517056</v>
      </c>
      <c r="N6" s="592">
        <v>5352609312</v>
      </c>
      <c r="O6" s="580">
        <v>1292227200</v>
      </c>
      <c r="P6" s="580">
        <v>1593018240</v>
      </c>
      <c r="Q6" s="580">
        <v>1774333340</v>
      </c>
      <c r="R6" s="580">
        <v>2104683600</v>
      </c>
      <c r="S6" s="580">
        <v>2519292300</v>
      </c>
      <c r="T6" s="580">
        <v>2808515020</v>
      </c>
      <c r="U6" s="580">
        <v>3166999460</v>
      </c>
      <c r="V6" s="580">
        <v>3667233195</v>
      </c>
      <c r="W6" s="580">
        <v>4146929850</v>
      </c>
      <c r="X6" s="580">
        <v>4545316350</v>
      </c>
      <c r="Y6" s="580">
        <v>5337717880</v>
      </c>
      <c r="Z6" s="592">
        <v>5986682370</v>
      </c>
      <c r="AA6" s="580">
        <v>2242499600</v>
      </c>
      <c r="AB6" s="580">
        <v>2740383840</v>
      </c>
      <c r="AC6" s="580">
        <v>3088064720</v>
      </c>
      <c r="AD6" s="580">
        <v>3733265700</v>
      </c>
      <c r="AE6" s="580">
        <v>4554285050</v>
      </c>
      <c r="AF6" s="580">
        <v>5108711640</v>
      </c>
      <c r="AG6" s="580">
        <v>5781735180</v>
      </c>
      <c r="AH6" s="580">
        <v>6767251020</v>
      </c>
      <c r="AI6" s="580">
        <v>7643977920</v>
      </c>
      <c r="AJ6" s="580">
        <v>8346974750</v>
      </c>
      <c r="AK6" s="580">
        <v>10057234936</v>
      </c>
      <c r="AL6" s="592">
        <v>11339291682</v>
      </c>
    </row>
    <row r="7" spans="1:38">
      <c r="B7" t="s">
        <v>7</v>
      </c>
      <c r="C7" s="580">
        <v>709956238.06988204</v>
      </c>
      <c r="D7" s="580">
        <v>914314793</v>
      </c>
      <c r="E7" s="580">
        <v>1073722600</v>
      </c>
      <c r="F7" s="580">
        <v>1314319893</v>
      </c>
      <c r="G7" s="580">
        <v>1612279636.4298501</v>
      </c>
      <c r="H7" s="580">
        <v>1783522248.6500101</v>
      </c>
      <c r="I7" s="580">
        <v>2045234344.7702701</v>
      </c>
      <c r="J7" s="580">
        <v>2398983218.7305002</v>
      </c>
      <c r="K7" s="580">
        <v>2833308736.5397801</v>
      </c>
      <c r="L7" s="580">
        <v>3187305562.5704198</v>
      </c>
      <c r="M7" s="580">
        <v>3783135660.4101</v>
      </c>
      <c r="N7" s="592">
        <v>4393739125.59058</v>
      </c>
      <c r="O7" s="580">
        <v>17510454.189996298</v>
      </c>
      <c r="P7" s="580">
        <v>22509980</v>
      </c>
      <c r="Q7" s="580">
        <v>23759494</v>
      </c>
      <c r="R7" s="580">
        <v>24614569</v>
      </c>
      <c r="S7" s="580">
        <v>25049853.609996799</v>
      </c>
      <c r="T7" s="580">
        <v>25677316.890000898</v>
      </c>
      <c r="U7" s="580">
        <v>27395996.719999399</v>
      </c>
      <c r="V7" s="580">
        <v>29356926.979988798</v>
      </c>
      <c r="W7" s="580">
        <v>33022813.130008802</v>
      </c>
      <c r="X7" s="580">
        <v>36472234.349986799</v>
      </c>
      <c r="Y7" s="580">
        <v>38135417.980012797</v>
      </c>
      <c r="Z7" s="592">
        <v>42683531.699992098</v>
      </c>
      <c r="AA7" s="580">
        <v>727466692.25987804</v>
      </c>
      <c r="AB7" s="580">
        <v>936824773</v>
      </c>
      <c r="AC7" s="580">
        <v>1097482094</v>
      </c>
      <c r="AD7" s="580">
        <v>1338934462</v>
      </c>
      <c r="AE7" s="580">
        <v>1637329490.03985</v>
      </c>
      <c r="AF7" s="580">
        <v>1809199565.54001</v>
      </c>
      <c r="AG7" s="580">
        <v>2072630341.4902699</v>
      </c>
      <c r="AH7" s="580">
        <v>2428340145.7104902</v>
      </c>
      <c r="AI7" s="580">
        <v>2866331549.6697898</v>
      </c>
      <c r="AJ7" s="580">
        <v>3223777796.9204102</v>
      </c>
      <c r="AK7" s="580">
        <v>3821271078.39011</v>
      </c>
      <c r="AL7" s="592">
        <v>4436422657.2905703</v>
      </c>
    </row>
    <row r="8" spans="1:38">
      <c r="B8" t="s">
        <v>8</v>
      </c>
      <c r="C8" s="580">
        <v>706593248.81924105</v>
      </c>
      <c r="D8" s="580">
        <v>899807608</v>
      </c>
      <c r="E8" s="580">
        <v>1070702379</v>
      </c>
      <c r="F8" s="580">
        <v>1281133331</v>
      </c>
      <c r="G8" s="580">
        <v>1531374470.11081</v>
      </c>
      <c r="H8" s="580">
        <v>1697616097.2099099</v>
      </c>
      <c r="I8" s="580">
        <v>1925745377.23049</v>
      </c>
      <c r="J8" s="580">
        <v>2238392049.5697699</v>
      </c>
      <c r="K8" s="580">
        <v>2577491804.2792301</v>
      </c>
      <c r="L8" s="580">
        <v>2874132994.23031</v>
      </c>
      <c r="M8" s="580">
        <v>3550825654.7101102</v>
      </c>
      <c r="N8" s="592">
        <v>4070823748.3295498</v>
      </c>
      <c r="O8" s="580">
        <v>7659217.6199997999</v>
      </c>
      <c r="P8" s="580">
        <v>9504062</v>
      </c>
      <c r="Q8" s="580">
        <v>10331033</v>
      </c>
      <c r="R8" s="580">
        <v>10292490</v>
      </c>
      <c r="S8" s="580">
        <v>9661303.7100017201</v>
      </c>
      <c r="T8" s="580">
        <v>9581907.85999934</v>
      </c>
      <c r="U8" s="580">
        <v>9744138.4900009409</v>
      </c>
      <c r="V8" s="580">
        <v>9852332.7200006004</v>
      </c>
      <c r="W8" s="580">
        <v>10558645.999998</v>
      </c>
      <c r="X8" s="580">
        <v>11334370.380002201</v>
      </c>
      <c r="Y8" s="580">
        <v>11028020.3299984</v>
      </c>
      <c r="Z8" s="592">
        <v>11235313.670000101</v>
      </c>
      <c r="AA8" s="580">
        <v>714252466.43924105</v>
      </c>
      <c r="AB8" s="580">
        <v>909311670</v>
      </c>
      <c r="AC8" s="580">
        <v>1081033412</v>
      </c>
      <c r="AD8" s="580">
        <v>1291425821</v>
      </c>
      <c r="AE8" s="580">
        <v>1541035773.8208101</v>
      </c>
      <c r="AF8" s="580">
        <v>1707198005.06991</v>
      </c>
      <c r="AG8" s="580">
        <v>1935489515.72049</v>
      </c>
      <c r="AH8" s="580">
        <v>2248244382.2897701</v>
      </c>
      <c r="AI8" s="580">
        <v>2588050450.2792201</v>
      </c>
      <c r="AJ8" s="580">
        <v>2885467364.6103101</v>
      </c>
      <c r="AK8" s="580">
        <v>3561853675.0401101</v>
      </c>
      <c r="AL8" s="592">
        <v>4082059061.9995499</v>
      </c>
    </row>
    <row r="9" spans="1:38">
      <c r="B9" t="s">
        <v>9</v>
      </c>
      <c r="C9" s="580">
        <v>691122448.10956395</v>
      </c>
      <c r="D9" s="580">
        <v>873647550</v>
      </c>
      <c r="E9" s="580">
        <v>1025224581</v>
      </c>
      <c r="F9" s="580">
        <v>1236330187</v>
      </c>
      <c r="G9" s="580">
        <v>1624830195.6003201</v>
      </c>
      <c r="H9" s="580">
        <v>1840629298.05</v>
      </c>
      <c r="I9" s="580">
        <v>2084265214.78949</v>
      </c>
      <c r="J9" s="580">
        <v>2427550016.94976</v>
      </c>
      <c r="K9" s="580">
        <v>2753585854.9908299</v>
      </c>
      <c r="L9" s="580">
        <v>3061750868.3404002</v>
      </c>
      <c r="M9" s="580">
        <v>3317067831.06954</v>
      </c>
      <c r="N9" s="592">
        <v>3743139203.4984999</v>
      </c>
      <c r="O9" s="580">
        <v>3856385.9500015099</v>
      </c>
      <c r="P9" s="580">
        <v>4792409</v>
      </c>
      <c r="Q9" s="580">
        <v>5130414</v>
      </c>
      <c r="R9" s="580">
        <v>4931676</v>
      </c>
      <c r="S9" s="580">
        <v>4479329.4000002705</v>
      </c>
      <c r="T9" s="580">
        <v>4267186.9999998501</v>
      </c>
      <c r="U9" s="580">
        <v>4181740.9800002999</v>
      </c>
      <c r="V9" s="580">
        <v>3983923.1899992898</v>
      </c>
      <c r="W9" s="580">
        <v>4336156.74000037</v>
      </c>
      <c r="X9" s="580">
        <v>4509304.6800010502</v>
      </c>
      <c r="Y9" s="580">
        <v>4599546.5299978796</v>
      </c>
      <c r="Z9" s="592">
        <v>4599313.28000113</v>
      </c>
      <c r="AA9" s="580">
        <v>694978834.05956602</v>
      </c>
      <c r="AB9" s="580">
        <v>878439959</v>
      </c>
      <c r="AC9" s="580">
        <v>1030354995</v>
      </c>
      <c r="AD9" s="580">
        <v>1241261863</v>
      </c>
      <c r="AE9" s="580">
        <v>1629309525.00032</v>
      </c>
      <c r="AF9" s="580">
        <v>1844896485.05</v>
      </c>
      <c r="AG9" s="580">
        <v>2088446955.76949</v>
      </c>
      <c r="AH9" s="580">
        <v>2431533940.13976</v>
      </c>
      <c r="AI9" s="580">
        <v>2757922011.7308302</v>
      </c>
      <c r="AJ9" s="580">
        <v>3066260173.0204101</v>
      </c>
      <c r="AK9" s="580">
        <v>3321667377.5995402</v>
      </c>
      <c r="AL9" s="592">
        <v>3747738516.7785001</v>
      </c>
    </row>
    <row r="10" spans="1:38">
      <c r="B10" t="s">
        <v>10</v>
      </c>
      <c r="C10" s="580">
        <v>838386780.19118702</v>
      </c>
      <c r="D10" s="580">
        <v>1039196891</v>
      </c>
      <c r="E10" s="580">
        <v>1190374997</v>
      </c>
      <c r="F10" s="580">
        <v>1387521338</v>
      </c>
      <c r="G10" s="580">
        <v>1420315374.6103401</v>
      </c>
      <c r="H10" s="580">
        <v>1527118004.3397501</v>
      </c>
      <c r="I10" s="580">
        <v>1673916940.4804201</v>
      </c>
      <c r="J10" s="580">
        <v>1986496777.5199299</v>
      </c>
      <c r="K10" s="580">
        <v>2157086053.4095402</v>
      </c>
      <c r="L10" s="580">
        <v>2258415441.6194901</v>
      </c>
      <c r="M10" s="580">
        <v>2161731059.5700798</v>
      </c>
      <c r="N10" s="592">
        <v>2234963319.2400298</v>
      </c>
      <c r="O10" s="580">
        <v>2143545.1399997999</v>
      </c>
      <c r="P10" s="580">
        <v>2587186</v>
      </c>
      <c r="Q10" s="580">
        <v>2736956</v>
      </c>
      <c r="R10" s="580">
        <v>2548579</v>
      </c>
      <c r="S10" s="580">
        <v>2336442.7199997101</v>
      </c>
      <c r="T10" s="580">
        <v>2440340.1600001301</v>
      </c>
      <c r="U10" s="580">
        <v>2440200.6700002602</v>
      </c>
      <c r="V10" s="580">
        <v>2797129.2299999502</v>
      </c>
      <c r="W10" s="580">
        <v>3094088.9500006898</v>
      </c>
      <c r="X10" s="580">
        <v>3143554.9900000799</v>
      </c>
      <c r="Y10" s="580">
        <v>2202175.44999944</v>
      </c>
      <c r="Z10" s="592">
        <v>2055590.67999986</v>
      </c>
      <c r="AA10" s="580">
        <v>840530325.33118701</v>
      </c>
      <c r="AB10" s="580">
        <v>1041784077</v>
      </c>
      <c r="AC10" s="580">
        <v>1193111953</v>
      </c>
      <c r="AD10" s="580">
        <v>1390069917</v>
      </c>
      <c r="AE10" s="580">
        <v>1422651817.3303399</v>
      </c>
      <c r="AF10" s="580">
        <v>1529558344.4997499</v>
      </c>
      <c r="AG10" s="580">
        <v>1676357141.15042</v>
      </c>
      <c r="AH10" s="580">
        <v>1989293906.7499299</v>
      </c>
      <c r="AI10" s="580">
        <v>2160180142.35955</v>
      </c>
      <c r="AJ10" s="580">
        <v>2261558996.6094899</v>
      </c>
      <c r="AK10" s="580">
        <v>2163933235.0200701</v>
      </c>
      <c r="AL10" s="592">
        <v>2237018909.9200301</v>
      </c>
    </row>
    <row r="11" spans="1:38">
      <c r="B11" t="s">
        <v>11</v>
      </c>
      <c r="C11" s="580">
        <v>704137246.60019195</v>
      </c>
      <c r="D11" s="580">
        <v>879861465</v>
      </c>
      <c r="E11" s="580">
        <v>953328142</v>
      </c>
      <c r="F11" s="580">
        <v>1066754954</v>
      </c>
      <c r="G11" s="580">
        <v>1180393675.87047</v>
      </c>
      <c r="H11" s="580">
        <v>1139231531.4403801</v>
      </c>
      <c r="I11" s="580">
        <v>1026940467.18001</v>
      </c>
      <c r="J11" s="580">
        <v>626008199.81000304</v>
      </c>
      <c r="K11" s="580">
        <v>682784010.75008404</v>
      </c>
      <c r="L11" s="580">
        <v>888283988.36974299</v>
      </c>
      <c r="M11" s="580">
        <v>632264806.140136</v>
      </c>
      <c r="N11" s="592">
        <v>637931048.44980204</v>
      </c>
      <c r="O11" s="580">
        <v>1421687.91000031</v>
      </c>
      <c r="P11" s="580">
        <v>1760280</v>
      </c>
      <c r="Q11" s="580">
        <v>1738382</v>
      </c>
      <c r="R11" s="580">
        <v>1788121</v>
      </c>
      <c r="S11" s="580">
        <v>1564147.49000017</v>
      </c>
      <c r="T11" s="580">
        <v>1238323.8399997</v>
      </c>
      <c r="U11" s="580">
        <v>999452.78000008303</v>
      </c>
      <c r="V11" s="580">
        <v>378332.50999993098</v>
      </c>
      <c r="W11" s="580">
        <v>403360.34999996098</v>
      </c>
      <c r="X11" s="580">
        <v>550387.830000013</v>
      </c>
      <c r="Y11" s="580">
        <v>271380.81000009901</v>
      </c>
      <c r="Z11" s="592">
        <v>244839.76000003499</v>
      </c>
      <c r="AA11" s="580">
        <v>705558934.51019299</v>
      </c>
      <c r="AB11" s="580">
        <v>881621745</v>
      </c>
      <c r="AC11" s="580">
        <v>955066524</v>
      </c>
      <c r="AD11" s="580">
        <v>1068543075</v>
      </c>
      <c r="AE11" s="580">
        <v>1181957823.3604701</v>
      </c>
      <c r="AF11" s="580">
        <v>1140469855.28038</v>
      </c>
      <c r="AG11" s="580">
        <v>1027939919.9600101</v>
      </c>
      <c r="AH11" s="580">
        <v>626386532.32000303</v>
      </c>
      <c r="AI11" s="580">
        <v>683187371.10008395</v>
      </c>
      <c r="AJ11" s="580">
        <v>888834376.19974303</v>
      </c>
      <c r="AK11" s="580">
        <v>632536186.95013595</v>
      </c>
      <c r="AL11" s="592">
        <v>638175888.20980203</v>
      </c>
    </row>
    <row r="12" spans="1:38">
      <c r="B12" t="s">
        <v>12</v>
      </c>
      <c r="C12" s="580">
        <v>535017583.73961401</v>
      </c>
      <c r="D12" s="580">
        <v>667297140</v>
      </c>
      <c r="E12" s="580">
        <v>868500678</v>
      </c>
      <c r="F12" s="580">
        <v>811336786</v>
      </c>
      <c r="G12" s="580">
        <v>342812023.51999199</v>
      </c>
      <c r="H12" s="580">
        <v>177126550.410014</v>
      </c>
      <c r="I12" s="580">
        <v>167558738.95001301</v>
      </c>
      <c r="J12" s="580">
        <v>129343136.619957</v>
      </c>
      <c r="K12" s="580">
        <v>125091296.750016</v>
      </c>
      <c r="L12" s="580">
        <v>156704291.269988</v>
      </c>
      <c r="M12" s="580">
        <v>87619041.539984301</v>
      </c>
      <c r="N12" s="592">
        <v>65862975.3700011</v>
      </c>
      <c r="O12" s="580">
        <v>828583.71999983303</v>
      </c>
      <c r="P12" s="580">
        <v>1031149</v>
      </c>
      <c r="Q12" s="580">
        <v>1207215</v>
      </c>
      <c r="R12" s="580">
        <v>837779</v>
      </c>
      <c r="S12" s="580">
        <v>229244.429999955</v>
      </c>
      <c r="T12" s="580">
        <v>74148.429999999702</v>
      </c>
      <c r="U12" s="580">
        <v>79704.480000019103</v>
      </c>
      <c r="V12" s="580">
        <v>56628.100000005201</v>
      </c>
      <c r="W12" s="580">
        <v>75625.209999982297</v>
      </c>
      <c r="X12" s="580">
        <v>115006.72000001</v>
      </c>
      <c r="Y12" s="580">
        <v>50340.899999998503</v>
      </c>
      <c r="Z12" s="592">
        <v>22272.050000004499</v>
      </c>
      <c r="AA12" s="580">
        <v>535846167.45961398</v>
      </c>
      <c r="AB12" s="580">
        <v>668328289</v>
      </c>
      <c r="AC12" s="580">
        <v>869707893</v>
      </c>
      <c r="AD12" s="580">
        <v>812174565</v>
      </c>
      <c r="AE12" s="580">
        <v>343041267.949992</v>
      </c>
      <c r="AF12" s="580">
        <v>177200698.84001401</v>
      </c>
      <c r="AG12" s="580">
        <v>167638443.430013</v>
      </c>
      <c r="AH12" s="580">
        <v>129399764.71995699</v>
      </c>
      <c r="AI12" s="580">
        <v>125166921.960016</v>
      </c>
      <c r="AJ12" s="580">
        <v>156819297.989988</v>
      </c>
      <c r="AK12" s="580">
        <v>87669382.439984307</v>
      </c>
      <c r="AL12" s="592">
        <v>65885247.420001097</v>
      </c>
    </row>
    <row r="13" spans="1:38">
      <c r="B13" t="s">
        <v>13</v>
      </c>
      <c r="C13" s="580">
        <v>266735224.48991701</v>
      </c>
      <c r="D13" s="580">
        <v>377300174</v>
      </c>
      <c r="E13" s="580">
        <v>294115585</v>
      </c>
      <c r="F13" s="580">
        <v>103673280</v>
      </c>
      <c r="G13" s="580">
        <v>43731223.130008698</v>
      </c>
      <c r="H13" s="580">
        <v>34245268.270003103</v>
      </c>
      <c r="I13" s="580">
        <v>36049344.829999998</v>
      </c>
      <c r="J13" s="580">
        <v>11319176.099998301</v>
      </c>
      <c r="K13" s="580">
        <v>10757413.8799977</v>
      </c>
      <c r="L13" s="580">
        <v>10711017.0500014</v>
      </c>
      <c r="M13" s="580">
        <v>12719031.8900059</v>
      </c>
      <c r="N13" s="592">
        <v>14727789.6400022</v>
      </c>
      <c r="O13" s="580">
        <v>263559.89999998402</v>
      </c>
      <c r="P13" s="580">
        <v>341710</v>
      </c>
      <c r="Q13" s="580">
        <v>216054</v>
      </c>
      <c r="R13" s="580">
        <v>58064</v>
      </c>
      <c r="S13" s="580">
        <v>21184.310000002399</v>
      </c>
      <c r="T13" s="580">
        <v>19848.059999994901</v>
      </c>
      <c r="U13" s="580">
        <v>15591.509999994199</v>
      </c>
      <c r="V13" s="580">
        <v>10895.830000001901</v>
      </c>
      <c r="W13" s="580">
        <v>11757.059999998701</v>
      </c>
      <c r="X13" s="580">
        <v>8338.2999999970198</v>
      </c>
      <c r="Y13" s="580">
        <v>8961.4800000041705</v>
      </c>
      <c r="Z13" s="592">
        <v>4880.8500000014901</v>
      </c>
      <c r="AA13" s="580">
        <v>266998784.38991699</v>
      </c>
      <c r="AB13" s="580">
        <v>377641884</v>
      </c>
      <c r="AC13" s="580">
        <v>294331639</v>
      </c>
      <c r="AD13" s="580">
        <v>103731344</v>
      </c>
      <c r="AE13" s="580">
        <v>43752407.4400087</v>
      </c>
      <c r="AF13" s="580">
        <v>34265116.330003098</v>
      </c>
      <c r="AG13" s="580">
        <v>36064936.340000004</v>
      </c>
      <c r="AH13" s="580">
        <v>11330071.929998299</v>
      </c>
      <c r="AI13" s="580">
        <v>10769170.939997699</v>
      </c>
      <c r="AJ13" s="580">
        <v>10719355.3500014</v>
      </c>
      <c r="AK13" s="580">
        <v>12727993.3700059</v>
      </c>
      <c r="AL13" s="592">
        <v>14732670.4900022</v>
      </c>
    </row>
    <row r="14" spans="1:38">
      <c r="B14" t="s">
        <v>14</v>
      </c>
      <c r="C14" s="580">
        <v>20898195.249981899</v>
      </c>
      <c r="D14" s="580">
        <v>23056573</v>
      </c>
      <c r="E14" s="580">
        <v>40122550</v>
      </c>
      <c r="F14" s="580">
        <v>22325330</v>
      </c>
      <c r="G14" s="580">
        <v>11079986.819998501</v>
      </c>
      <c r="H14" s="580">
        <v>9256932.3100010492</v>
      </c>
      <c r="I14" s="580">
        <v>10899746.640000099</v>
      </c>
      <c r="J14" s="580">
        <v>12563437.9099984</v>
      </c>
      <c r="K14" s="580">
        <v>12796359.0299956</v>
      </c>
      <c r="L14" s="580">
        <v>11823495.4600036</v>
      </c>
      <c r="M14" s="580">
        <v>12049161.449999001</v>
      </c>
      <c r="N14" s="592">
        <v>10399485.609998399</v>
      </c>
      <c r="O14" s="580">
        <v>10186.540000000999</v>
      </c>
      <c r="P14" s="580">
        <v>12084</v>
      </c>
      <c r="Q14" s="580">
        <v>19454</v>
      </c>
      <c r="R14" s="580">
        <v>17753</v>
      </c>
      <c r="S14" s="580">
        <v>2801.8099999986598</v>
      </c>
      <c r="T14" s="580">
        <v>6342.0199999995502</v>
      </c>
      <c r="U14" s="580">
        <v>3447.17000000179</v>
      </c>
      <c r="V14" s="580">
        <v>0</v>
      </c>
      <c r="W14" s="580">
        <v>0</v>
      </c>
      <c r="X14" s="580">
        <v>0</v>
      </c>
      <c r="Y14" s="580">
        <v>0</v>
      </c>
      <c r="Z14" s="592">
        <v>0</v>
      </c>
      <c r="AA14" s="580">
        <v>20908381.789981902</v>
      </c>
      <c r="AB14" s="580">
        <v>23068657</v>
      </c>
      <c r="AC14" s="580">
        <v>40142004</v>
      </c>
      <c r="AD14" s="580">
        <v>22343083</v>
      </c>
      <c r="AE14" s="580">
        <v>11082788.6299985</v>
      </c>
      <c r="AF14" s="580">
        <v>9263274.3300010506</v>
      </c>
      <c r="AG14" s="580">
        <v>10903193.810000099</v>
      </c>
      <c r="AH14" s="580">
        <v>12563437.9099984</v>
      </c>
      <c r="AI14" s="580">
        <v>12796359.0299956</v>
      </c>
      <c r="AJ14" s="580">
        <v>11823495.4600036</v>
      </c>
      <c r="AK14" s="580">
        <v>12049161.449999001</v>
      </c>
      <c r="AL14" s="592">
        <v>10399485.609998399</v>
      </c>
    </row>
    <row r="15" spans="1:38">
      <c r="B15" t="s">
        <v>15</v>
      </c>
      <c r="C15" s="580">
        <v>12391888.240002999</v>
      </c>
      <c r="D15" s="580">
        <v>13118830</v>
      </c>
      <c r="E15" s="580">
        <v>15415148</v>
      </c>
      <c r="F15" s="580">
        <v>10260577</v>
      </c>
      <c r="G15" s="580">
        <v>7602053.10000108</v>
      </c>
      <c r="H15" s="580">
        <v>10396794.930002</v>
      </c>
      <c r="I15" s="580">
        <v>8230873.8699967396</v>
      </c>
      <c r="J15" s="580">
        <v>5340273.76999842</v>
      </c>
      <c r="K15" s="580">
        <v>5644109.8999984004</v>
      </c>
      <c r="L15" s="580">
        <v>8316597.4799986901</v>
      </c>
      <c r="M15" s="580">
        <v>3647866.6399998898</v>
      </c>
      <c r="N15" s="592">
        <v>3612136.2900000699</v>
      </c>
      <c r="O15" s="580">
        <v>1840.4299999996999</v>
      </c>
      <c r="P15" s="580">
        <v>2203</v>
      </c>
      <c r="Q15" s="580">
        <v>0</v>
      </c>
      <c r="R15" s="580">
        <v>0</v>
      </c>
      <c r="S15" s="580">
        <v>6455.3999999985099</v>
      </c>
      <c r="T15" s="580">
        <v>0</v>
      </c>
      <c r="U15" s="580">
        <v>0</v>
      </c>
      <c r="V15" s="580">
        <v>0</v>
      </c>
      <c r="W15" s="580">
        <v>0</v>
      </c>
      <c r="X15" s="580">
        <v>0</v>
      </c>
      <c r="Y15" s="580">
        <v>0</v>
      </c>
      <c r="Z15" s="592">
        <v>0</v>
      </c>
      <c r="AA15" s="580">
        <v>12393728.670003001</v>
      </c>
      <c r="AB15" s="580">
        <v>13121033</v>
      </c>
      <c r="AC15" s="580">
        <v>15415148</v>
      </c>
      <c r="AD15" s="580">
        <v>10260577</v>
      </c>
      <c r="AE15" s="580">
        <v>7608508.5000010803</v>
      </c>
      <c r="AF15" s="580">
        <v>10396794.930002</v>
      </c>
      <c r="AG15" s="580">
        <v>8230873.8699967396</v>
      </c>
      <c r="AH15" s="580">
        <v>5340273.76999842</v>
      </c>
      <c r="AI15" s="580">
        <v>5644109.8999984004</v>
      </c>
      <c r="AJ15" s="580">
        <v>8316597.4799986901</v>
      </c>
      <c r="AK15" s="580">
        <v>3647866.6399998898</v>
      </c>
      <c r="AL15" s="592">
        <v>3612136.2900000699</v>
      </c>
    </row>
    <row r="16" spans="1:38">
      <c r="B16" t="s">
        <v>16</v>
      </c>
      <c r="C16" s="580">
        <v>39100617.0801249</v>
      </c>
      <c r="D16" s="580">
        <v>35397702</v>
      </c>
      <c r="E16" s="580">
        <v>35639158</v>
      </c>
      <c r="F16" s="580">
        <v>28696172</v>
      </c>
      <c r="G16" s="580">
        <v>26688738.9399992</v>
      </c>
      <c r="H16" s="580">
        <v>21248278.9299994</v>
      </c>
      <c r="I16" s="580">
        <v>20547407.719999298</v>
      </c>
      <c r="J16" s="580">
        <v>20367427.700000498</v>
      </c>
      <c r="K16" s="580">
        <v>20834131.3199986</v>
      </c>
      <c r="L16" s="580">
        <v>21847771.750002898</v>
      </c>
      <c r="M16" s="580">
        <v>21636559.259991702</v>
      </c>
      <c r="N16" s="592">
        <v>22325883.650003798</v>
      </c>
      <c r="O16" s="580">
        <v>13777.3199999928</v>
      </c>
      <c r="P16" s="580">
        <v>10544</v>
      </c>
      <c r="Q16" s="580">
        <v>8385</v>
      </c>
      <c r="R16" s="580">
        <v>6147</v>
      </c>
      <c r="S16" s="580">
        <v>0</v>
      </c>
      <c r="T16" s="580">
        <v>0</v>
      </c>
      <c r="U16" s="580">
        <v>0</v>
      </c>
      <c r="V16" s="580">
        <v>0</v>
      </c>
      <c r="W16" s="580">
        <v>0</v>
      </c>
      <c r="X16" s="580">
        <v>0</v>
      </c>
      <c r="Y16" s="580">
        <v>0</v>
      </c>
      <c r="Z16" s="592">
        <v>0</v>
      </c>
      <c r="AA16" s="580">
        <v>39114394.400124803</v>
      </c>
      <c r="AB16" s="580">
        <v>35408246</v>
      </c>
      <c r="AC16" s="580">
        <v>35647543</v>
      </c>
      <c r="AD16" s="580">
        <v>28702319</v>
      </c>
      <c r="AE16" s="580">
        <v>26688738.9399992</v>
      </c>
      <c r="AF16" s="580">
        <v>21248278.9299994</v>
      </c>
      <c r="AG16" s="580">
        <v>20547407.719999298</v>
      </c>
      <c r="AH16" s="580">
        <v>20367427.700000498</v>
      </c>
      <c r="AI16" s="580">
        <v>20834131.3199986</v>
      </c>
      <c r="AJ16" s="580">
        <v>21847771.750002898</v>
      </c>
      <c r="AK16" s="580">
        <v>21636559.259991702</v>
      </c>
      <c r="AL16" s="592">
        <v>22325883.650003798</v>
      </c>
    </row>
    <row r="17" spans="1:38">
      <c r="B17" t="s">
        <v>17</v>
      </c>
      <c r="C17" s="580">
        <v>16394154.2499996</v>
      </c>
      <c r="D17" s="580">
        <v>11919103</v>
      </c>
      <c r="E17" s="580">
        <v>11118874</v>
      </c>
      <c r="F17" s="580">
        <v>10462534</v>
      </c>
      <c r="G17" s="580">
        <v>7039214.85000013</v>
      </c>
      <c r="H17" s="580">
        <v>7427807.4199995203</v>
      </c>
      <c r="I17" s="580">
        <v>7110898.67000008</v>
      </c>
      <c r="J17" s="580">
        <v>6933885.9500006596</v>
      </c>
      <c r="K17" s="580">
        <v>6452183.8299995102</v>
      </c>
      <c r="L17" s="580">
        <v>8208691.6999991704</v>
      </c>
      <c r="M17" s="580">
        <v>7421464.0999990897</v>
      </c>
      <c r="N17" s="592">
        <v>7307871.0500016697</v>
      </c>
      <c r="O17" s="580">
        <v>0</v>
      </c>
      <c r="P17" s="580">
        <v>0</v>
      </c>
      <c r="Q17" s="580">
        <v>0</v>
      </c>
      <c r="R17" s="580">
        <v>0</v>
      </c>
      <c r="S17" s="580">
        <v>0</v>
      </c>
      <c r="T17" s="580">
        <v>0</v>
      </c>
      <c r="U17" s="580">
        <v>0</v>
      </c>
      <c r="V17" s="580">
        <v>0</v>
      </c>
      <c r="W17" s="580">
        <v>0</v>
      </c>
      <c r="X17" s="580">
        <v>0</v>
      </c>
      <c r="Y17" s="580">
        <v>0</v>
      </c>
      <c r="Z17" s="592">
        <v>0</v>
      </c>
      <c r="AA17" s="580">
        <v>16394154.2499996</v>
      </c>
      <c r="AB17" s="580">
        <v>11919103</v>
      </c>
      <c r="AC17" s="580">
        <v>11118874</v>
      </c>
      <c r="AD17" s="580">
        <v>10462534</v>
      </c>
      <c r="AE17" s="580">
        <v>7039214.85000013</v>
      </c>
      <c r="AF17" s="580">
        <v>7427807.4199995203</v>
      </c>
      <c r="AG17" s="580">
        <v>7110898.67000008</v>
      </c>
      <c r="AH17" s="580">
        <v>6933885.9500006596</v>
      </c>
      <c r="AI17" s="580">
        <v>6452183.8299995102</v>
      </c>
      <c r="AJ17" s="580">
        <v>8208691.6999991704</v>
      </c>
      <c r="AK17" s="580">
        <v>7421464.0999990897</v>
      </c>
      <c r="AL17" s="592">
        <v>7307871.0500016697</v>
      </c>
    </row>
    <row r="18" spans="1:38">
      <c r="B18" t="s">
        <v>18</v>
      </c>
      <c r="C18" s="580">
        <v>2516850.3900004202</v>
      </c>
      <c r="D18" s="580">
        <v>3133753</v>
      </c>
      <c r="E18" s="580">
        <v>3239420</v>
      </c>
      <c r="F18" s="580">
        <v>4241863</v>
      </c>
      <c r="G18" s="580">
        <v>2606640.6500010202</v>
      </c>
      <c r="H18" s="580">
        <v>2205520.90999967</v>
      </c>
      <c r="I18" s="580">
        <v>2114409.0600000899</v>
      </c>
      <c r="J18" s="580">
        <v>1875862.18000007</v>
      </c>
      <c r="K18" s="580">
        <v>1637662.21000025</v>
      </c>
      <c r="L18" s="580">
        <v>85279.580000042901</v>
      </c>
      <c r="M18" s="580">
        <v>90464.570000052496</v>
      </c>
      <c r="N18" s="592">
        <v>96073.360000014305</v>
      </c>
      <c r="O18" s="580">
        <v>0</v>
      </c>
      <c r="P18" s="580">
        <v>0</v>
      </c>
      <c r="Q18" s="580">
        <v>0</v>
      </c>
      <c r="R18" s="580">
        <v>0</v>
      </c>
      <c r="S18" s="580">
        <v>0</v>
      </c>
      <c r="T18" s="580">
        <v>0</v>
      </c>
      <c r="U18" s="580">
        <v>0</v>
      </c>
      <c r="V18" s="580">
        <v>0</v>
      </c>
      <c r="W18" s="580">
        <v>0</v>
      </c>
      <c r="X18" s="580">
        <v>0</v>
      </c>
      <c r="Y18" s="580">
        <v>0</v>
      </c>
      <c r="Z18" s="592">
        <v>0</v>
      </c>
      <c r="AA18" s="580">
        <v>2516850.3900004202</v>
      </c>
      <c r="AB18" s="580">
        <v>3133753</v>
      </c>
      <c r="AC18" s="580">
        <v>3239420</v>
      </c>
      <c r="AD18" s="580">
        <v>4241863</v>
      </c>
      <c r="AE18" s="580">
        <v>2606640.6500010202</v>
      </c>
      <c r="AF18" s="580">
        <v>2205520.90999967</v>
      </c>
      <c r="AG18" s="580">
        <v>2114409.0600000899</v>
      </c>
      <c r="AH18" s="580">
        <v>1875862.18000007</v>
      </c>
      <c r="AI18" s="580">
        <v>1637662.21000025</v>
      </c>
      <c r="AJ18" s="580">
        <v>85279.580000042901</v>
      </c>
      <c r="AK18" s="580">
        <v>90464.570000052496</v>
      </c>
      <c r="AL18" s="592">
        <v>96073.360000014305</v>
      </c>
    </row>
    <row r="19" spans="1:38">
      <c r="A19" s="104" t="s">
        <v>78</v>
      </c>
      <c r="B19" t="s">
        <v>3</v>
      </c>
      <c r="C19" s="580">
        <v>2508062014.45013</v>
      </c>
      <c r="D19" s="580">
        <v>3051128786</v>
      </c>
      <c r="E19" s="580">
        <v>3356744290</v>
      </c>
      <c r="F19" s="580">
        <v>3640883266</v>
      </c>
      <c r="G19" s="580">
        <v>3934971517.4912</v>
      </c>
      <c r="H19" s="580">
        <v>4247486815.0093198</v>
      </c>
      <c r="I19" s="580">
        <v>4664676993.1503296</v>
      </c>
      <c r="J19" s="580">
        <v>5186681531.7497396</v>
      </c>
      <c r="K19" s="580">
        <v>5807070510.7404099</v>
      </c>
      <c r="L19" s="580">
        <v>6458029384.1501598</v>
      </c>
      <c r="M19" s="580">
        <v>7164195949.8304701</v>
      </c>
      <c r="N19" s="592">
        <v>7954978610.0490503</v>
      </c>
      <c r="O19" s="580">
        <v>2949152.7200003201</v>
      </c>
      <c r="P19" s="580">
        <v>3730033</v>
      </c>
      <c r="Q19" s="580">
        <v>4312062</v>
      </c>
      <c r="R19" s="580">
        <v>5210948</v>
      </c>
      <c r="S19" s="580">
        <v>6294700.2800006298</v>
      </c>
      <c r="T19" s="580">
        <v>7056751.3799997196</v>
      </c>
      <c r="U19" s="580">
        <v>8137582.4699992901</v>
      </c>
      <c r="V19" s="580">
        <v>9631514.6199998707</v>
      </c>
      <c r="W19" s="580">
        <v>11117676.0900004</v>
      </c>
      <c r="X19" s="580">
        <v>12481535.560001399</v>
      </c>
      <c r="Y19" s="580">
        <v>14265808.729996899</v>
      </c>
      <c r="Z19" s="592">
        <v>16120278.7400018</v>
      </c>
      <c r="AA19" s="580">
        <v>2511011167.1701298</v>
      </c>
      <c r="AB19" s="580">
        <v>3054858819</v>
      </c>
      <c r="AC19" s="580">
        <v>3361056352</v>
      </c>
      <c r="AD19" s="580">
        <v>3646094214</v>
      </c>
      <c r="AE19" s="580">
        <v>3941266217.7712002</v>
      </c>
      <c r="AF19" s="580">
        <v>4254543566.3893199</v>
      </c>
      <c r="AG19" s="580">
        <v>4672814575.6203299</v>
      </c>
      <c r="AH19" s="580">
        <v>5196313046.3697395</v>
      </c>
      <c r="AI19" s="580">
        <v>5818188186.83041</v>
      </c>
      <c r="AJ19" s="580">
        <v>6470510919.7101698</v>
      </c>
      <c r="AK19" s="580">
        <v>7178461758.5604696</v>
      </c>
      <c r="AL19" s="592">
        <v>7971098888.7890501</v>
      </c>
    </row>
    <row r="20" spans="1:38">
      <c r="B20" t="s">
        <v>5</v>
      </c>
      <c r="C20" s="580">
        <v>3766990.13998893</v>
      </c>
      <c r="D20" s="580">
        <v>4811711</v>
      </c>
      <c r="E20" s="580">
        <v>5443846</v>
      </c>
      <c r="F20" s="580">
        <v>6980966</v>
      </c>
      <c r="G20" s="580">
        <v>9395524.8599960301</v>
      </c>
      <c r="H20" s="580">
        <v>9879142.9400025997</v>
      </c>
      <c r="I20" s="580">
        <v>12043991.6300069</v>
      </c>
      <c r="J20" s="580">
        <v>14811151.830003699</v>
      </c>
      <c r="K20" s="580">
        <v>16614851.659999499</v>
      </c>
      <c r="L20" s="580">
        <v>17741290.740000602</v>
      </c>
      <c r="M20" s="580">
        <v>20917333.060011901</v>
      </c>
      <c r="N20" s="592">
        <v>22973002.490010399</v>
      </c>
      <c r="O20" s="580">
        <v>1509.36999999918</v>
      </c>
      <c r="P20" s="580">
        <v>2354</v>
      </c>
      <c r="Q20" s="580">
        <v>3745</v>
      </c>
      <c r="R20" s="580">
        <v>4994</v>
      </c>
      <c r="S20" s="580">
        <v>6527.1499999985099</v>
      </c>
      <c r="T20" s="580">
        <v>7760.3100000023796</v>
      </c>
      <c r="U20" s="580">
        <v>8626.4599999934399</v>
      </c>
      <c r="V20" s="580">
        <v>12808.2699999958</v>
      </c>
      <c r="W20" s="580">
        <v>14504.099999994</v>
      </c>
      <c r="X20" s="580">
        <v>15500.3400000036</v>
      </c>
      <c r="Y20" s="580">
        <v>17852.659999996398</v>
      </c>
      <c r="Z20" s="592">
        <v>22013.75</v>
      </c>
      <c r="AA20" s="580">
        <v>3768499.5099889301</v>
      </c>
      <c r="AB20" s="580">
        <v>4814065</v>
      </c>
      <c r="AC20" s="580">
        <v>5447591</v>
      </c>
      <c r="AD20" s="580">
        <v>6985960</v>
      </c>
      <c r="AE20" s="580">
        <v>9402052.0099960305</v>
      </c>
      <c r="AF20" s="580">
        <v>9886903.2500026003</v>
      </c>
      <c r="AG20" s="580">
        <v>12052618.090006899</v>
      </c>
      <c r="AH20" s="580">
        <v>14823960.100003701</v>
      </c>
      <c r="AI20" s="580">
        <v>16629355.759999501</v>
      </c>
      <c r="AJ20" s="580">
        <v>17756791.080000602</v>
      </c>
      <c r="AK20" s="580">
        <v>20935185.720011901</v>
      </c>
      <c r="AL20" s="592">
        <v>22995016.240010399</v>
      </c>
    </row>
    <row r="21" spans="1:38">
      <c r="B21" t="s">
        <v>6</v>
      </c>
      <c r="C21" s="580">
        <v>66570800</v>
      </c>
      <c r="D21" s="580">
        <v>80978640</v>
      </c>
      <c r="E21" s="580">
        <v>93788240</v>
      </c>
      <c r="F21" s="580">
        <v>122788500</v>
      </c>
      <c r="G21" s="580">
        <v>168651000</v>
      </c>
      <c r="H21" s="580">
        <v>206150760</v>
      </c>
      <c r="I21" s="580">
        <v>251395795</v>
      </c>
      <c r="J21" s="580">
        <v>324272400</v>
      </c>
      <c r="K21" s="580">
        <v>383631180</v>
      </c>
      <c r="L21" s="580">
        <v>433319145</v>
      </c>
      <c r="M21" s="580">
        <v>570483472</v>
      </c>
      <c r="N21" s="592">
        <v>673178064</v>
      </c>
      <c r="O21" s="580">
        <v>368000</v>
      </c>
      <c r="P21" s="580">
        <v>453600</v>
      </c>
      <c r="Q21" s="580">
        <v>551980</v>
      </c>
      <c r="R21" s="580">
        <v>889800</v>
      </c>
      <c r="S21" s="580">
        <v>1420650</v>
      </c>
      <c r="T21" s="580">
        <v>1846800</v>
      </c>
      <c r="U21" s="580">
        <v>2421110</v>
      </c>
      <c r="V21" s="580">
        <v>3426585</v>
      </c>
      <c r="W21" s="580">
        <v>4188120</v>
      </c>
      <c r="X21" s="580">
        <v>4889740</v>
      </c>
      <c r="Y21" s="580">
        <v>6410954</v>
      </c>
      <c r="Z21" s="592">
        <v>7675638</v>
      </c>
      <c r="AA21" s="580">
        <v>66938800</v>
      </c>
      <c r="AB21" s="580">
        <v>81432240</v>
      </c>
      <c r="AC21" s="580">
        <v>94340220</v>
      </c>
      <c r="AD21" s="580">
        <v>123678300</v>
      </c>
      <c r="AE21" s="580">
        <v>170071650</v>
      </c>
      <c r="AF21" s="580">
        <v>207997560</v>
      </c>
      <c r="AG21" s="580">
        <v>253816905</v>
      </c>
      <c r="AH21" s="580">
        <v>327698985</v>
      </c>
      <c r="AI21" s="580">
        <v>387819300</v>
      </c>
      <c r="AJ21" s="580">
        <v>438208885</v>
      </c>
      <c r="AK21" s="580">
        <v>576894426</v>
      </c>
      <c r="AL21" s="592">
        <v>680853702</v>
      </c>
    </row>
    <row r="22" spans="1:38">
      <c r="B22" t="s">
        <v>7</v>
      </c>
      <c r="C22" s="580">
        <v>169726075.739988</v>
      </c>
      <c r="D22" s="580">
        <v>207644924</v>
      </c>
      <c r="E22" s="580">
        <v>235237217</v>
      </c>
      <c r="F22" s="580">
        <v>296439588</v>
      </c>
      <c r="G22" s="580">
        <v>392845856.19994301</v>
      </c>
      <c r="H22" s="580">
        <v>465434826.81995398</v>
      </c>
      <c r="I22" s="580">
        <v>547269878.83014596</v>
      </c>
      <c r="J22" s="580">
        <v>674274590.22033501</v>
      </c>
      <c r="K22" s="580">
        <v>781328831.35004604</v>
      </c>
      <c r="L22" s="580">
        <v>871953834.180161</v>
      </c>
      <c r="M22" s="580">
        <v>1105463003.4201701</v>
      </c>
      <c r="N22" s="592">
        <v>1289136500.58096</v>
      </c>
      <c r="O22" s="580">
        <v>549382.34000015305</v>
      </c>
      <c r="P22" s="580">
        <v>715297</v>
      </c>
      <c r="Q22" s="580">
        <v>908637</v>
      </c>
      <c r="R22" s="580">
        <v>1331835</v>
      </c>
      <c r="S22" s="580">
        <v>1797843.42000008</v>
      </c>
      <c r="T22" s="580">
        <v>2085551.5200004601</v>
      </c>
      <c r="U22" s="580">
        <v>2486792.5900001498</v>
      </c>
      <c r="V22" s="580">
        <v>2869589.1800003098</v>
      </c>
      <c r="W22" s="580">
        <v>3334381.9099998502</v>
      </c>
      <c r="X22" s="580">
        <v>3743179.56000137</v>
      </c>
      <c r="Y22" s="580">
        <v>4118098.2999992399</v>
      </c>
      <c r="Z22" s="592">
        <v>4616144.0500030499</v>
      </c>
      <c r="AA22" s="580">
        <v>170275458.079988</v>
      </c>
      <c r="AB22" s="580">
        <v>208360221</v>
      </c>
      <c r="AC22" s="580">
        <v>236145854</v>
      </c>
      <c r="AD22" s="580">
        <v>297771423</v>
      </c>
      <c r="AE22" s="580">
        <v>394643699.61994302</v>
      </c>
      <c r="AF22" s="580">
        <v>467520378.33995402</v>
      </c>
      <c r="AG22" s="580">
        <v>549756671.42014599</v>
      </c>
      <c r="AH22" s="580">
        <v>677144179.40033495</v>
      </c>
      <c r="AI22" s="580">
        <v>784663213.26004601</v>
      </c>
      <c r="AJ22" s="580">
        <v>875697013.74016201</v>
      </c>
      <c r="AK22" s="580">
        <v>1109581101.72017</v>
      </c>
      <c r="AL22" s="592">
        <v>1293752644.63097</v>
      </c>
    </row>
    <row r="23" spans="1:38">
      <c r="B23" t="s">
        <v>8</v>
      </c>
      <c r="C23" s="580">
        <v>273421226.62939101</v>
      </c>
      <c r="D23" s="580">
        <v>335070889</v>
      </c>
      <c r="E23" s="580">
        <v>380685309</v>
      </c>
      <c r="F23" s="580">
        <v>470407653</v>
      </c>
      <c r="G23" s="580">
        <v>615229366.16045797</v>
      </c>
      <c r="H23" s="580">
        <v>720701281.11978698</v>
      </c>
      <c r="I23" s="580">
        <v>843694929.20014906</v>
      </c>
      <c r="J23" s="580">
        <v>1029466686.75983</v>
      </c>
      <c r="K23" s="580">
        <v>1183310478.0695901</v>
      </c>
      <c r="L23" s="580">
        <v>1315553005.6102901</v>
      </c>
      <c r="M23" s="580">
        <v>1793600201.61005</v>
      </c>
      <c r="N23" s="592">
        <v>2067068420.1698301</v>
      </c>
      <c r="O23" s="580">
        <v>583859.82999992406</v>
      </c>
      <c r="P23" s="580">
        <v>759183</v>
      </c>
      <c r="Q23" s="580">
        <v>864033</v>
      </c>
      <c r="R23" s="580">
        <v>1018092</v>
      </c>
      <c r="S23" s="580">
        <v>1210018.0200004601</v>
      </c>
      <c r="T23" s="580">
        <v>1308146.6499996199</v>
      </c>
      <c r="U23" s="580">
        <v>1434254.9699993101</v>
      </c>
      <c r="V23" s="580">
        <v>1628321.3899993901</v>
      </c>
      <c r="W23" s="580">
        <v>1790775.0200004601</v>
      </c>
      <c r="X23" s="580">
        <v>1955248.7000007599</v>
      </c>
      <c r="Y23" s="580">
        <v>2120916.8499984699</v>
      </c>
      <c r="Z23" s="592">
        <v>2223311.1399993901</v>
      </c>
      <c r="AA23" s="580">
        <v>274005086.459391</v>
      </c>
      <c r="AB23" s="580">
        <v>335830072</v>
      </c>
      <c r="AC23" s="580">
        <v>381549342</v>
      </c>
      <c r="AD23" s="580">
        <v>471425745</v>
      </c>
      <c r="AE23" s="580">
        <v>616439384.18045795</v>
      </c>
      <c r="AF23" s="580">
        <v>722009427.76978695</v>
      </c>
      <c r="AG23" s="580">
        <v>845129184.17014802</v>
      </c>
      <c r="AH23" s="580">
        <v>1031095008.14983</v>
      </c>
      <c r="AI23" s="580">
        <v>1185101253.0895901</v>
      </c>
      <c r="AJ23" s="580">
        <v>1317508254.3102901</v>
      </c>
      <c r="AK23" s="580">
        <v>1795721118.4600401</v>
      </c>
      <c r="AL23" s="592">
        <v>2069291731.30983</v>
      </c>
    </row>
    <row r="24" spans="1:38">
      <c r="B24" t="s">
        <v>9</v>
      </c>
      <c r="C24" s="580">
        <v>365558267.63964498</v>
      </c>
      <c r="D24" s="580">
        <v>443323056</v>
      </c>
      <c r="E24" s="580">
        <v>501396510</v>
      </c>
      <c r="F24" s="580">
        <v>629119302</v>
      </c>
      <c r="G24" s="580">
        <v>945418458.74014294</v>
      </c>
      <c r="H24" s="580">
        <v>1121647361.20978</v>
      </c>
      <c r="I24" s="580">
        <v>1297091928.6295199</v>
      </c>
      <c r="J24" s="580">
        <v>1560194072.6796701</v>
      </c>
      <c r="K24" s="580">
        <v>1761339598.9109299</v>
      </c>
      <c r="L24" s="580">
        <v>1953603450.77036</v>
      </c>
      <c r="M24" s="580">
        <v>2114450353.45996</v>
      </c>
      <c r="N24" s="592">
        <v>2374760041.6986098</v>
      </c>
      <c r="O24" s="580">
        <v>515410</v>
      </c>
      <c r="P24" s="580">
        <v>649045</v>
      </c>
      <c r="Q24" s="580">
        <v>724247</v>
      </c>
      <c r="R24" s="580">
        <v>800249</v>
      </c>
      <c r="S24" s="580">
        <v>906064.39000034297</v>
      </c>
      <c r="T24" s="580">
        <v>958940.239999771</v>
      </c>
      <c r="U24" s="580">
        <v>1000159.22999954</v>
      </c>
      <c r="V24" s="580">
        <v>1002980.4300003099</v>
      </c>
      <c r="W24" s="580">
        <v>1078051.01000023</v>
      </c>
      <c r="X24" s="580">
        <v>1142335.98999977</v>
      </c>
      <c r="Y24" s="580">
        <v>1062561.0499992401</v>
      </c>
      <c r="Z24" s="592">
        <v>1084902.2999992401</v>
      </c>
      <c r="AA24" s="580">
        <v>366073677.63964498</v>
      </c>
      <c r="AB24" s="580">
        <v>443972101</v>
      </c>
      <c r="AC24" s="580">
        <v>502120757</v>
      </c>
      <c r="AD24" s="580">
        <v>629919551</v>
      </c>
      <c r="AE24" s="580">
        <v>946324523.130144</v>
      </c>
      <c r="AF24" s="580">
        <v>1122606301.44978</v>
      </c>
      <c r="AG24" s="580">
        <v>1298092087.85952</v>
      </c>
      <c r="AH24" s="580">
        <v>1561197053.1096699</v>
      </c>
      <c r="AI24" s="580">
        <v>1762417649.9209299</v>
      </c>
      <c r="AJ24" s="580">
        <v>1954745786.76036</v>
      </c>
      <c r="AK24" s="580">
        <v>2115512914.5099599</v>
      </c>
      <c r="AL24" s="592">
        <v>2375844943.99861</v>
      </c>
    </row>
    <row r="25" spans="1:38">
      <c r="B25" t="s">
        <v>10</v>
      </c>
      <c r="C25" s="580">
        <v>579764141.241207</v>
      </c>
      <c r="D25" s="580">
        <v>700175116</v>
      </c>
      <c r="E25" s="580">
        <v>780844139</v>
      </c>
      <c r="F25" s="580">
        <v>920406244</v>
      </c>
      <c r="G25" s="580">
        <v>921270266.28028595</v>
      </c>
      <c r="H25" s="580">
        <v>988310298.32961094</v>
      </c>
      <c r="I25" s="580">
        <v>1074673053.63041</v>
      </c>
      <c r="J25" s="580">
        <v>1274447542.9898601</v>
      </c>
      <c r="K25" s="580">
        <v>1356956859.15979</v>
      </c>
      <c r="L25" s="580">
        <v>1393491113.56952</v>
      </c>
      <c r="M25" s="580">
        <v>1239746269.1601901</v>
      </c>
      <c r="N25" s="592">
        <v>1211446698.09973</v>
      </c>
      <c r="O25" s="580">
        <v>408863.260000229</v>
      </c>
      <c r="P25" s="580">
        <v>491510</v>
      </c>
      <c r="Q25" s="580">
        <v>554837</v>
      </c>
      <c r="R25" s="580">
        <v>589073</v>
      </c>
      <c r="S25" s="580">
        <v>576523.36999988602</v>
      </c>
      <c r="T25" s="580">
        <v>552103.96000003803</v>
      </c>
      <c r="U25" s="580">
        <v>571757.600000381</v>
      </c>
      <c r="V25" s="580">
        <v>611407.82999992406</v>
      </c>
      <c r="W25" s="580">
        <v>618427.44999980903</v>
      </c>
      <c r="X25" s="580">
        <v>599193.729999542</v>
      </c>
      <c r="Y25" s="580">
        <v>478039.579999924</v>
      </c>
      <c r="Z25" s="592">
        <v>447192.90000009502</v>
      </c>
      <c r="AA25" s="580">
        <v>580173004.50120699</v>
      </c>
      <c r="AB25" s="580">
        <v>700666626</v>
      </c>
      <c r="AC25" s="580">
        <v>781398976</v>
      </c>
      <c r="AD25" s="580">
        <v>920995317</v>
      </c>
      <c r="AE25" s="580">
        <v>921846789.65028596</v>
      </c>
      <c r="AF25" s="580">
        <v>988862402.28961098</v>
      </c>
      <c r="AG25" s="580">
        <v>1075244811.2304101</v>
      </c>
      <c r="AH25" s="580">
        <v>1275058950.81986</v>
      </c>
      <c r="AI25" s="580">
        <v>1357575286.6097901</v>
      </c>
      <c r="AJ25" s="580">
        <v>1394090307.29952</v>
      </c>
      <c r="AK25" s="580">
        <v>1240224308.74019</v>
      </c>
      <c r="AL25" s="592">
        <v>1211893890.9997301</v>
      </c>
    </row>
    <row r="26" spans="1:38">
      <c r="B26" t="s">
        <v>11</v>
      </c>
      <c r="C26" s="580">
        <v>501524550.28027302</v>
      </c>
      <c r="D26" s="580">
        <v>609359008</v>
      </c>
      <c r="E26" s="580">
        <v>636189615</v>
      </c>
      <c r="F26" s="580">
        <v>681182015</v>
      </c>
      <c r="G26" s="580">
        <v>723463872.77034402</v>
      </c>
      <c r="H26" s="580">
        <v>645322002.22018504</v>
      </c>
      <c r="I26" s="580">
        <v>547404656.72009802</v>
      </c>
      <c r="J26" s="580">
        <v>229436937.12007001</v>
      </c>
      <c r="K26" s="580">
        <v>243177795.490044</v>
      </c>
      <c r="L26" s="580">
        <v>374904514.39982599</v>
      </c>
      <c r="M26" s="580">
        <v>252105683.85009801</v>
      </c>
      <c r="N26" s="592">
        <v>256128368.74991199</v>
      </c>
      <c r="O26" s="580">
        <v>278707.5</v>
      </c>
      <c r="P26" s="580">
        <v>352131</v>
      </c>
      <c r="Q26" s="580">
        <v>392691</v>
      </c>
      <c r="R26" s="580">
        <v>382180</v>
      </c>
      <c r="S26" s="580">
        <v>329023.11999988602</v>
      </c>
      <c r="T26" s="580">
        <v>292485.17999982799</v>
      </c>
      <c r="U26" s="580">
        <v>212110.84999990501</v>
      </c>
      <c r="V26" s="580">
        <v>73998.549999952302</v>
      </c>
      <c r="W26" s="580">
        <v>80287.440000057206</v>
      </c>
      <c r="X26" s="580">
        <v>115829.429999948</v>
      </c>
      <c r="Y26" s="580">
        <v>49786.170000016697</v>
      </c>
      <c r="Z26" s="592">
        <v>51076.600000023798</v>
      </c>
      <c r="AA26" s="580">
        <v>501803257.78027302</v>
      </c>
      <c r="AB26" s="580">
        <v>609711139</v>
      </c>
      <c r="AC26" s="580">
        <v>636582306</v>
      </c>
      <c r="AD26" s="580">
        <v>681564195</v>
      </c>
      <c r="AE26" s="580">
        <v>723792895.89034402</v>
      </c>
      <c r="AF26" s="580">
        <v>645614487.40018499</v>
      </c>
      <c r="AG26" s="580">
        <v>547616767.57009804</v>
      </c>
      <c r="AH26" s="580">
        <v>229510935.67006999</v>
      </c>
      <c r="AI26" s="580">
        <v>243258082.930044</v>
      </c>
      <c r="AJ26" s="580">
        <v>375020343.829826</v>
      </c>
      <c r="AK26" s="580">
        <v>252155470.020098</v>
      </c>
      <c r="AL26" s="592">
        <v>256179445.34991199</v>
      </c>
    </row>
    <row r="27" spans="1:38">
      <c r="B27" t="s">
        <v>12</v>
      </c>
      <c r="C27" s="580">
        <v>359405964.349617</v>
      </c>
      <c r="D27" s="580">
        <v>436356470</v>
      </c>
      <c r="E27" s="580">
        <v>558191875</v>
      </c>
      <c r="F27" s="580">
        <v>445071338</v>
      </c>
      <c r="G27" s="580">
        <v>110231943.490024</v>
      </c>
      <c r="H27" s="580">
        <v>47251180.509992003</v>
      </c>
      <c r="I27" s="580">
        <v>49026770.079999201</v>
      </c>
      <c r="J27" s="580">
        <v>46897684.959977902</v>
      </c>
      <c r="K27" s="580">
        <v>47426830.0400111</v>
      </c>
      <c r="L27" s="580">
        <v>62783391.120010398</v>
      </c>
      <c r="M27" s="580">
        <v>33980970.100007102</v>
      </c>
      <c r="N27" s="592">
        <v>26799271.089992501</v>
      </c>
      <c r="O27" s="580">
        <v>214907.47000002899</v>
      </c>
      <c r="P27" s="580">
        <v>258200</v>
      </c>
      <c r="Q27" s="580">
        <v>265988</v>
      </c>
      <c r="R27" s="580">
        <v>188041</v>
      </c>
      <c r="S27" s="580">
        <v>45496.269999980897</v>
      </c>
      <c r="T27" s="580">
        <v>4963.5200000032801</v>
      </c>
      <c r="U27" s="580">
        <v>2770.7699999995498</v>
      </c>
      <c r="V27" s="580">
        <v>5823.9699999988097</v>
      </c>
      <c r="W27" s="580">
        <v>13129.1599999964</v>
      </c>
      <c r="X27" s="580">
        <v>20507.810000002399</v>
      </c>
      <c r="Y27" s="580">
        <v>7600.1199999973196</v>
      </c>
      <c r="Z27" s="592">
        <v>0</v>
      </c>
      <c r="AA27" s="580">
        <v>359620871.81961697</v>
      </c>
      <c r="AB27" s="580">
        <v>436614670</v>
      </c>
      <c r="AC27" s="580">
        <v>558457863</v>
      </c>
      <c r="AD27" s="580">
        <v>445259379</v>
      </c>
      <c r="AE27" s="580">
        <v>110277439.760024</v>
      </c>
      <c r="AF27" s="580">
        <v>47256144.029991999</v>
      </c>
      <c r="AG27" s="580">
        <v>49029540.849999197</v>
      </c>
      <c r="AH27" s="580">
        <v>46903508.929977901</v>
      </c>
      <c r="AI27" s="580">
        <v>47439959.200011097</v>
      </c>
      <c r="AJ27" s="580">
        <v>62803898.930010401</v>
      </c>
      <c r="AK27" s="580">
        <v>33988570.220007099</v>
      </c>
      <c r="AL27" s="592">
        <v>26799271.089992501</v>
      </c>
    </row>
    <row r="28" spans="1:38">
      <c r="B28" t="s">
        <v>13</v>
      </c>
      <c r="C28" s="580">
        <v>142322648.179932</v>
      </c>
      <c r="D28" s="580">
        <v>185304697</v>
      </c>
      <c r="E28" s="580">
        <v>110009205</v>
      </c>
      <c r="F28" s="580">
        <v>28148516</v>
      </c>
      <c r="G28" s="580">
        <v>17991508.0400066</v>
      </c>
      <c r="H28" s="580">
        <v>14264265.8200066</v>
      </c>
      <c r="I28" s="580">
        <v>13739371.6100026</v>
      </c>
      <c r="J28" s="580">
        <v>5311180.8699991899</v>
      </c>
      <c r="K28" s="580">
        <v>5229743.1399994902</v>
      </c>
      <c r="L28" s="580">
        <v>5060286.1299991598</v>
      </c>
      <c r="M28" s="580">
        <v>7460444.7100038501</v>
      </c>
      <c r="N28" s="592">
        <v>9375948.8999996204</v>
      </c>
      <c r="O28" s="580">
        <v>28512.949999988101</v>
      </c>
      <c r="P28" s="580">
        <v>48713</v>
      </c>
      <c r="Q28" s="580">
        <v>45904</v>
      </c>
      <c r="R28" s="580">
        <v>4251</v>
      </c>
      <c r="S28" s="580">
        <v>2554.53999999911</v>
      </c>
      <c r="T28" s="580">
        <v>0</v>
      </c>
      <c r="U28" s="580">
        <v>0</v>
      </c>
      <c r="V28" s="580">
        <v>0</v>
      </c>
      <c r="W28" s="580">
        <v>0</v>
      </c>
      <c r="X28" s="580">
        <v>0</v>
      </c>
      <c r="Y28" s="580">
        <v>0</v>
      </c>
      <c r="Z28" s="592">
        <v>0</v>
      </c>
      <c r="AA28" s="580">
        <v>142351161.12993199</v>
      </c>
      <c r="AB28" s="580">
        <v>185353410</v>
      </c>
      <c r="AC28" s="580">
        <v>110055109</v>
      </c>
      <c r="AD28" s="580">
        <v>28152767</v>
      </c>
      <c r="AE28" s="580">
        <v>17994062.580006599</v>
      </c>
      <c r="AF28" s="580">
        <v>14264265.8200066</v>
      </c>
      <c r="AG28" s="580">
        <v>13739371.6100026</v>
      </c>
      <c r="AH28" s="580">
        <v>5311180.8699991899</v>
      </c>
      <c r="AI28" s="580">
        <v>5229743.1399994902</v>
      </c>
      <c r="AJ28" s="580">
        <v>5060286.1299991598</v>
      </c>
      <c r="AK28" s="580">
        <v>7460444.7100038501</v>
      </c>
      <c r="AL28" s="592">
        <v>9375948.8999996204</v>
      </c>
    </row>
    <row r="29" spans="1:38">
      <c r="B29" t="s">
        <v>14</v>
      </c>
      <c r="C29" s="580">
        <v>11318736.6599846</v>
      </c>
      <c r="D29" s="580">
        <v>13012991</v>
      </c>
      <c r="E29" s="580">
        <v>18668318</v>
      </c>
      <c r="F29" s="580">
        <v>9975972</v>
      </c>
      <c r="G29" s="580">
        <v>4561867.8799983598</v>
      </c>
      <c r="H29" s="580">
        <v>4449983.3000012198</v>
      </c>
      <c r="I29" s="580">
        <v>6699712.0600006804</v>
      </c>
      <c r="J29" s="580">
        <v>8455292.0999976192</v>
      </c>
      <c r="K29" s="580">
        <v>8910643.5799960308</v>
      </c>
      <c r="L29" s="580">
        <v>7808115.3100037603</v>
      </c>
      <c r="M29" s="580">
        <v>8841173.4899983406</v>
      </c>
      <c r="N29" s="592">
        <v>7095274.1200003596</v>
      </c>
      <c r="O29" s="580">
        <v>0</v>
      </c>
      <c r="P29" s="580">
        <v>0</v>
      </c>
      <c r="Q29" s="580">
        <v>0</v>
      </c>
      <c r="R29" s="580">
        <v>2433</v>
      </c>
      <c r="S29" s="580">
        <v>0</v>
      </c>
      <c r="T29" s="580">
        <v>0</v>
      </c>
      <c r="U29" s="580">
        <v>0</v>
      </c>
      <c r="V29" s="580">
        <v>0</v>
      </c>
      <c r="W29" s="580">
        <v>0</v>
      </c>
      <c r="X29" s="580">
        <v>0</v>
      </c>
      <c r="Y29" s="580">
        <v>0</v>
      </c>
      <c r="Z29" s="592">
        <v>0</v>
      </c>
      <c r="AA29" s="580">
        <v>11318736.6599846</v>
      </c>
      <c r="AB29" s="580">
        <v>13012991</v>
      </c>
      <c r="AC29" s="580">
        <v>18668318</v>
      </c>
      <c r="AD29" s="580">
        <v>9978405</v>
      </c>
      <c r="AE29" s="580">
        <v>4561867.8799983598</v>
      </c>
      <c r="AF29" s="580">
        <v>4449983.3000012198</v>
      </c>
      <c r="AG29" s="580">
        <v>6699712.0600006804</v>
      </c>
      <c r="AH29" s="580">
        <v>8455292.0999976192</v>
      </c>
      <c r="AI29" s="580">
        <v>8910643.5799960308</v>
      </c>
      <c r="AJ29" s="580">
        <v>7808115.3100037603</v>
      </c>
      <c r="AK29" s="580">
        <v>8841173.4899983406</v>
      </c>
      <c r="AL29" s="592">
        <v>7095274.1200003596</v>
      </c>
    </row>
    <row r="30" spans="1:38">
      <c r="B30" t="s">
        <v>15</v>
      </c>
      <c r="C30" s="580">
        <v>5878397.0400028201</v>
      </c>
      <c r="D30" s="580">
        <v>6535523</v>
      </c>
      <c r="E30" s="580">
        <v>8320927</v>
      </c>
      <c r="F30" s="580">
        <v>5504172</v>
      </c>
      <c r="G30" s="580">
        <v>4124210.37000091</v>
      </c>
      <c r="H30" s="580">
        <v>6999583.1100025</v>
      </c>
      <c r="I30" s="580">
        <v>5337587.4299975596</v>
      </c>
      <c r="J30" s="580">
        <v>2959326.0799986999</v>
      </c>
      <c r="K30" s="580">
        <v>3312175.5999988802</v>
      </c>
      <c r="L30" s="580">
        <v>5857022.4399981499</v>
      </c>
      <c r="M30" s="580">
        <v>1659629.0799992101</v>
      </c>
      <c r="N30" s="592">
        <v>1582914.8400002101</v>
      </c>
      <c r="O30" s="580">
        <v>0</v>
      </c>
      <c r="P30" s="580">
        <v>0</v>
      </c>
      <c r="Q30" s="580">
        <v>0</v>
      </c>
      <c r="R30" s="580">
        <v>0</v>
      </c>
      <c r="S30" s="580">
        <v>0</v>
      </c>
      <c r="T30" s="580">
        <v>0</v>
      </c>
      <c r="U30" s="580">
        <v>0</v>
      </c>
      <c r="V30" s="580">
        <v>0</v>
      </c>
      <c r="W30" s="580">
        <v>0</v>
      </c>
      <c r="X30" s="580">
        <v>0</v>
      </c>
      <c r="Y30" s="580">
        <v>0</v>
      </c>
      <c r="Z30" s="592">
        <v>0</v>
      </c>
      <c r="AA30" s="580">
        <v>5878397.0400028201</v>
      </c>
      <c r="AB30" s="580">
        <v>6535523</v>
      </c>
      <c r="AC30" s="580">
        <v>8320927</v>
      </c>
      <c r="AD30" s="580">
        <v>5504172</v>
      </c>
      <c r="AE30" s="580">
        <v>4124210.37000091</v>
      </c>
      <c r="AF30" s="580">
        <v>6999583.1100025</v>
      </c>
      <c r="AG30" s="580">
        <v>5337587.4299975596</v>
      </c>
      <c r="AH30" s="580">
        <v>2959326.0799986999</v>
      </c>
      <c r="AI30" s="580">
        <v>3312175.5999988802</v>
      </c>
      <c r="AJ30" s="580">
        <v>5857022.4399981499</v>
      </c>
      <c r="AK30" s="580">
        <v>1659629.0799992101</v>
      </c>
      <c r="AL30" s="592">
        <v>1582914.8400002101</v>
      </c>
    </row>
    <row r="31" spans="1:38">
      <c r="B31" t="s">
        <v>16</v>
      </c>
      <c r="C31" s="580">
        <v>19111579.100097701</v>
      </c>
      <c r="D31" s="580">
        <v>19569021</v>
      </c>
      <c r="E31" s="580">
        <v>19577525</v>
      </c>
      <c r="F31" s="580">
        <v>16189802</v>
      </c>
      <c r="G31" s="580">
        <v>16446376.339999899</v>
      </c>
      <c r="H31" s="580">
        <v>11632471.9999997</v>
      </c>
      <c r="I31" s="580">
        <v>10971555.059999799</v>
      </c>
      <c r="J31" s="580">
        <v>11085875.0000013</v>
      </c>
      <c r="K31" s="580">
        <v>11303546.789999301</v>
      </c>
      <c r="L31" s="580">
        <v>11470952.919999801</v>
      </c>
      <c r="M31" s="580">
        <v>11573322.549996501</v>
      </c>
      <c r="N31" s="592">
        <v>11677440.589997999</v>
      </c>
      <c r="O31" s="580">
        <v>0</v>
      </c>
      <c r="P31" s="580">
        <v>0</v>
      </c>
      <c r="Q31" s="580">
        <v>0</v>
      </c>
      <c r="R31" s="580">
        <v>0</v>
      </c>
      <c r="S31" s="580">
        <v>0</v>
      </c>
      <c r="T31" s="580">
        <v>0</v>
      </c>
      <c r="U31" s="580">
        <v>0</v>
      </c>
      <c r="V31" s="580">
        <v>0</v>
      </c>
      <c r="W31" s="580">
        <v>0</v>
      </c>
      <c r="X31" s="580">
        <v>0</v>
      </c>
      <c r="Y31" s="580">
        <v>0</v>
      </c>
      <c r="Z31" s="592">
        <v>0</v>
      </c>
      <c r="AA31" s="580">
        <v>19111579.100097701</v>
      </c>
      <c r="AB31" s="580">
        <v>19569021</v>
      </c>
      <c r="AC31" s="580">
        <v>19577525</v>
      </c>
      <c r="AD31" s="580">
        <v>16189802</v>
      </c>
      <c r="AE31" s="580">
        <v>16446376.339999899</v>
      </c>
      <c r="AF31" s="580">
        <v>11632471.9999997</v>
      </c>
      <c r="AG31" s="580">
        <v>10971555.059999799</v>
      </c>
      <c r="AH31" s="580">
        <v>11085875.0000013</v>
      </c>
      <c r="AI31" s="580">
        <v>11303546.789999301</v>
      </c>
      <c r="AJ31" s="580">
        <v>11470952.919999801</v>
      </c>
      <c r="AK31" s="580">
        <v>11573322.549996501</v>
      </c>
      <c r="AL31" s="592">
        <v>11677440.589997999</v>
      </c>
    </row>
    <row r="32" spans="1:38">
      <c r="B32" t="s">
        <v>17</v>
      </c>
      <c r="C32" s="580">
        <v>8333313.9400004596</v>
      </c>
      <c r="D32" s="580">
        <v>7414593</v>
      </c>
      <c r="E32" s="580">
        <v>6742783</v>
      </c>
      <c r="F32" s="580">
        <v>6270211</v>
      </c>
      <c r="G32" s="580">
        <v>4004901.8399996501</v>
      </c>
      <c r="H32" s="580">
        <v>4311955.2799999099</v>
      </c>
      <c r="I32" s="580">
        <v>4328026.5000001797</v>
      </c>
      <c r="J32" s="580">
        <v>4116846.5400004098</v>
      </c>
      <c r="K32" s="580">
        <v>3695438.3900000998</v>
      </c>
      <c r="L32" s="580">
        <v>4483261.96000099</v>
      </c>
      <c r="M32" s="580">
        <v>3914093.3400001498</v>
      </c>
      <c r="N32" s="592">
        <v>3756664.7200012198</v>
      </c>
      <c r="O32" s="580">
        <v>0</v>
      </c>
      <c r="P32" s="580">
        <v>0</v>
      </c>
      <c r="Q32" s="580">
        <v>0</v>
      </c>
      <c r="R32" s="580">
        <v>0</v>
      </c>
      <c r="S32" s="580">
        <v>0</v>
      </c>
      <c r="T32" s="580">
        <v>0</v>
      </c>
      <c r="U32" s="580">
        <v>0</v>
      </c>
      <c r="V32" s="580">
        <v>0</v>
      </c>
      <c r="W32" s="580">
        <v>0</v>
      </c>
      <c r="X32" s="580">
        <v>0</v>
      </c>
      <c r="Y32" s="580">
        <v>0</v>
      </c>
      <c r="Z32" s="592">
        <v>0</v>
      </c>
      <c r="AA32" s="580">
        <v>8333313.9400004596</v>
      </c>
      <c r="AB32" s="580">
        <v>7414593</v>
      </c>
      <c r="AC32" s="580">
        <v>6742783</v>
      </c>
      <c r="AD32" s="580">
        <v>6270211</v>
      </c>
      <c r="AE32" s="580">
        <v>4004901.8399996501</v>
      </c>
      <c r="AF32" s="580">
        <v>4311955.2799999099</v>
      </c>
      <c r="AG32" s="580">
        <v>4328026.5000001797</v>
      </c>
      <c r="AH32" s="580">
        <v>4116846.5400004098</v>
      </c>
      <c r="AI32" s="580">
        <v>3695438.3900000998</v>
      </c>
      <c r="AJ32" s="580">
        <v>4483261.96000099</v>
      </c>
      <c r="AK32" s="580">
        <v>3914093.3400001498</v>
      </c>
      <c r="AL32" s="592">
        <v>3756664.7200012198</v>
      </c>
    </row>
    <row r="33" spans="1:38">
      <c r="B33" t="s">
        <v>18</v>
      </c>
      <c r="C33" s="580">
        <v>1359323.5100002999</v>
      </c>
      <c r="D33" s="580">
        <v>1572147</v>
      </c>
      <c r="E33" s="580">
        <v>1648781</v>
      </c>
      <c r="F33" s="580">
        <v>2398987</v>
      </c>
      <c r="G33" s="580">
        <v>1336364.5200008501</v>
      </c>
      <c r="H33" s="580">
        <v>1131702.34999976</v>
      </c>
      <c r="I33" s="580">
        <v>999736.77000033902</v>
      </c>
      <c r="J33" s="580">
        <v>951944.60000011302</v>
      </c>
      <c r="K33" s="580">
        <v>832538.56000003195</v>
      </c>
      <c r="L33" s="580">
        <v>0</v>
      </c>
      <c r="M33" s="580">
        <v>0</v>
      </c>
      <c r="N33" s="592">
        <v>0</v>
      </c>
      <c r="O33" s="580">
        <v>0</v>
      </c>
      <c r="P33" s="580">
        <v>0</v>
      </c>
      <c r="Q33" s="580">
        <v>0</v>
      </c>
      <c r="R33" s="580">
        <v>0</v>
      </c>
      <c r="S33" s="580">
        <v>0</v>
      </c>
      <c r="T33" s="580">
        <v>0</v>
      </c>
      <c r="U33" s="580">
        <v>0</v>
      </c>
      <c r="V33" s="580">
        <v>0</v>
      </c>
      <c r="W33" s="580">
        <v>0</v>
      </c>
      <c r="X33" s="580">
        <v>0</v>
      </c>
      <c r="Y33" s="580">
        <v>0</v>
      </c>
      <c r="Z33" s="592">
        <v>0</v>
      </c>
      <c r="AA33" s="580">
        <v>1359323.5100002999</v>
      </c>
      <c r="AB33" s="580">
        <v>1572147</v>
      </c>
      <c r="AC33" s="580">
        <v>1648781</v>
      </c>
      <c r="AD33" s="580">
        <v>2398987</v>
      </c>
      <c r="AE33" s="580">
        <v>1336364.5200008501</v>
      </c>
      <c r="AF33" s="580">
        <v>1131702.34999976</v>
      </c>
      <c r="AG33" s="580">
        <v>999736.77000033902</v>
      </c>
      <c r="AH33" s="580">
        <v>951944.60000011302</v>
      </c>
      <c r="AI33" s="580">
        <v>832538.56000003195</v>
      </c>
      <c r="AJ33" s="580">
        <v>0</v>
      </c>
      <c r="AK33" s="580">
        <v>0</v>
      </c>
      <c r="AL33" s="592">
        <v>0</v>
      </c>
    </row>
    <row r="34" spans="1:38">
      <c r="A34" s="104" t="s">
        <v>79</v>
      </c>
      <c r="B34" t="s">
        <v>3</v>
      </c>
      <c r="C34" s="580">
        <v>521214080.72004902</v>
      </c>
      <c r="D34" s="580">
        <v>670182232</v>
      </c>
      <c r="E34" s="580">
        <v>784489190</v>
      </c>
      <c r="F34" s="580">
        <v>915543381</v>
      </c>
      <c r="G34" s="580">
        <v>1059764453.72</v>
      </c>
      <c r="H34" s="580">
        <v>1191026264.70996</v>
      </c>
      <c r="I34" s="580">
        <v>1367683186.75017</v>
      </c>
      <c r="J34" s="580">
        <v>1602041820.5699301</v>
      </c>
      <c r="K34" s="580">
        <v>1840413784.98967</v>
      </c>
      <c r="L34" s="580">
        <v>2078987380.1997499</v>
      </c>
      <c r="M34" s="580">
        <v>2441156142.7800899</v>
      </c>
      <c r="N34" s="592">
        <v>2817179268.5105801</v>
      </c>
      <c r="O34" s="580">
        <v>861693373.62000096</v>
      </c>
      <c r="P34" s="580">
        <v>1061837271</v>
      </c>
      <c r="Q34" s="580">
        <v>1180116751</v>
      </c>
      <c r="R34" s="580">
        <v>1399493466</v>
      </c>
      <c r="S34" s="580">
        <v>1682394431.45</v>
      </c>
      <c r="T34" s="580">
        <v>1884954431.77</v>
      </c>
      <c r="U34" s="580">
        <v>2131915202.51</v>
      </c>
      <c r="V34" s="580">
        <v>2477912483.6300001</v>
      </c>
      <c r="W34" s="580">
        <v>2807146822.7600098</v>
      </c>
      <c r="X34" s="580">
        <v>3085333905.1199999</v>
      </c>
      <c r="Y34" s="580">
        <v>3624913931.6399999</v>
      </c>
      <c r="Z34" s="592">
        <v>4066933325.1799998</v>
      </c>
      <c r="AA34" s="580">
        <v>1382907454.34005</v>
      </c>
      <c r="AB34" s="580">
        <v>1732019503</v>
      </c>
      <c r="AC34" s="580">
        <v>1964605941</v>
      </c>
      <c r="AD34" s="580">
        <v>2315036847</v>
      </c>
      <c r="AE34" s="580">
        <v>2742158885.1699901</v>
      </c>
      <c r="AF34" s="580">
        <v>3075980696.47996</v>
      </c>
      <c r="AG34" s="580">
        <v>3499598389.26018</v>
      </c>
      <c r="AH34" s="580">
        <v>4079954304.1999202</v>
      </c>
      <c r="AI34" s="580">
        <v>4647560607.7496796</v>
      </c>
      <c r="AJ34" s="580">
        <v>5164321285.3197498</v>
      </c>
      <c r="AK34" s="580">
        <v>6066070074.4200897</v>
      </c>
      <c r="AL34" s="592">
        <v>6884112593.6905699</v>
      </c>
    </row>
    <row r="35" spans="1:38">
      <c r="B35" t="s">
        <v>5</v>
      </c>
      <c r="C35" s="580">
        <v>199604.43000006699</v>
      </c>
      <c r="D35" s="580">
        <v>261475</v>
      </c>
      <c r="E35" s="580">
        <v>309326</v>
      </c>
      <c r="F35" s="580">
        <v>378716</v>
      </c>
      <c r="G35" s="580">
        <v>502843.13999986602</v>
      </c>
      <c r="H35" s="580">
        <v>611263.89000034297</v>
      </c>
      <c r="I35" s="580">
        <v>686427.65999984695</v>
      </c>
      <c r="J35" s="580">
        <v>953347.729999542</v>
      </c>
      <c r="K35" s="580">
        <v>1111898.9500007599</v>
      </c>
      <c r="L35" s="580">
        <v>1238358.0300006899</v>
      </c>
      <c r="M35" s="580">
        <v>1524539.32999992</v>
      </c>
      <c r="N35" s="592">
        <v>1866125.92000008</v>
      </c>
      <c r="O35" s="580">
        <v>113388.779999971</v>
      </c>
      <c r="P35" s="580">
        <v>148380</v>
      </c>
      <c r="Q35" s="580">
        <v>175768</v>
      </c>
      <c r="R35" s="580">
        <v>224413</v>
      </c>
      <c r="S35" s="580">
        <v>286029.80000008299</v>
      </c>
      <c r="T35" s="580">
        <v>372767.13000018097</v>
      </c>
      <c r="U35" s="580">
        <v>355563.500000022</v>
      </c>
      <c r="V35" s="580">
        <v>537759.16999986395</v>
      </c>
      <c r="W35" s="580">
        <v>630177.12999975297</v>
      </c>
      <c r="X35" s="580">
        <v>705250.15999984695</v>
      </c>
      <c r="Y35" s="580">
        <v>834244.94999980903</v>
      </c>
      <c r="Z35" s="592">
        <v>918758.31999969506</v>
      </c>
      <c r="AA35" s="580">
        <v>312993.21000003797</v>
      </c>
      <c r="AB35" s="580">
        <v>409855</v>
      </c>
      <c r="AC35" s="580">
        <v>485094</v>
      </c>
      <c r="AD35" s="580">
        <v>603129</v>
      </c>
      <c r="AE35" s="580">
        <v>788872.93999994895</v>
      </c>
      <c r="AF35" s="580">
        <v>984031.02000052505</v>
      </c>
      <c r="AG35" s="580">
        <v>1041991.15999987</v>
      </c>
      <c r="AH35" s="580">
        <v>1491106.8999994099</v>
      </c>
      <c r="AI35" s="580">
        <v>1742076.08000052</v>
      </c>
      <c r="AJ35" s="580">
        <v>1943608.1900005301</v>
      </c>
      <c r="AK35" s="580">
        <v>2358784.2799997302</v>
      </c>
      <c r="AL35" s="592">
        <v>2784884.2399997702</v>
      </c>
    </row>
    <row r="36" spans="1:38">
      <c r="B36" t="s">
        <v>6</v>
      </c>
      <c r="C36" s="580">
        <v>184046600</v>
      </c>
      <c r="D36" s="580">
        <v>234001920</v>
      </c>
      <c r="E36" s="580">
        <v>286461760</v>
      </c>
      <c r="F36" s="580">
        <v>363128100</v>
      </c>
      <c r="G36" s="580">
        <v>466400550</v>
      </c>
      <c r="H36" s="580">
        <v>545813760</v>
      </c>
      <c r="I36" s="580">
        <v>641780485</v>
      </c>
      <c r="J36" s="580">
        <v>787144560</v>
      </c>
      <c r="K36" s="580">
        <v>910759530</v>
      </c>
      <c r="L36" s="580">
        <v>1020081950</v>
      </c>
      <c r="M36" s="580">
        <v>1277269536</v>
      </c>
      <c r="N36" s="592">
        <v>1494635406</v>
      </c>
      <c r="O36" s="580">
        <v>852464400</v>
      </c>
      <c r="P36" s="580">
        <v>1050286080</v>
      </c>
      <c r="Q36" s="580">
        <v>1168389560</v>
      </c>
      <c r="R36" s="580">
        <v>1387107600</v>
      </c>
      <c r="S36" s="580">
        <v>1669775800</v>
      </c>
      <c r="T36" s="580">
        <v>1871686960</v>
      </c>
      <c r="U36" s="580">
        <v>2117811400</v>
      </c>
      <c r="V36" s="580">
        <v>2462831115</v>
      </c>
      <c r="W36" s="580">
        <v>2790232440</v>
      </c>
      <c r="X36" s="580">
        <v>3066522070</v>
      </c>
      <c r="Y36" s="580">
        <v>3605084632</v>
      </c>
      <c r="Z36" s="592">
        <v>4045184622</v>
      </c>
      <c r="AA36" s="580">
        <v>1036511000</v>
      </c>
      <c r="AB36" s="580">
        <v>1284288000</v>
      </c>
      <c r="AC36" s="580">
        <v>1454851320</v>
      </c>
      <c r="AD36" s="580">
        <v>1750235700</v>
      </c>
      <c r="AE36" s="580">
        <v>2136176350</v>
      </c>
      <c r="AF36" s="580">
        <v>2417500720</v>
      </c>
      <c r="AG36" s="580">
        <v>2759591885</v>
      </c>
      <c r="AH36" s="580">
        <v>3249975675</v>
      </c>
      <c r="AI36" s="580">
        <v>3700991970</v>
      </c>
      <c r="AJ36" s="580">
        <v>4086604020</v>
      </c>
      <c r="AK36" s="580">
        <v>4882354168</v>
      </c>
      <c r="AL36" s="592">
        <v>5539820028</v>
      </c>
    </row>
    <row r="37" spans="1:38">
      <c r="B37" t="s">
        <v>7</v>
      </c>
      <c r="C37" s="580">
        <v>116021405.829956</v>
      </c>
      <c r="D37" s="580">
        <v>149794159</v>
      </c>
      <c r="E37" s="580">
        <v>168793404</v>
      </c>
      <c r="F37" s="580">
        <v>199438748</v>
      </c>
      <c r="G37" s="580">
        <v>233400237.94995099</v>
      </c>
      <c r="H37" s="580">
        <v>258755197.73999</v>
      </c>
      <c r="I37" s="580">
        <v>294737814.040039</v>
      </c>
      <c r="J37" s="580">
        <v>341116724.40978497</v>
      </c>
      <c r="K37" s="580">
        <v>390815960.54980499</v>
      </c>
      <c r="L37" s="580">
        <v>440823121.54980499</v>
      </c>
      <c r="M37" s="580">
        <v>507840253.27002001</v>
      </c>
      <c r="N37" s="592">
        <v>581676335.98046899</v>
      </c>
      <c r="O37" s="580">
        <v>4328670.5699996902</v>
      </c>
      <c r="P37" s="580">
        <v>5629931</v>
      </c>
      <c r="Q37" s="580">
        <v>5472052</v>
      </c>
      <c r="R37" s="580">
        <v>6058559</v>
      </c>
      <c r="S37" s="580">
        <v>6695828.7599960295</v>
      </c>
      <c r="T37" s="580">
        <v>7338877.3800029</v>
      </c>
      <c r="U37" s="580">
        <v>8193519.3200016003</v>
      </c>
      <c r="V37" s="580">
        <v>9136713.5399942398</v>
      </c>
      <c r="W37" s="580">
        <v>10446638.410007499</v>
      </c>
      <c r="X37" s="580">
        <v>12015630.2299957</v>
      </c>
      <c r="Y37" s="580">
        <v>13518198.410003699</v>
      </c>
      <c r="Z37" s="592">
        <v>15595906.8699951</v>
      </c>
      <c r="AA37" s="580">
        <v>120350076.399956</v>
      </c>
      <c r="AB37" s="580">
        <v>155424090</v>
      </c>
      <c r="AC37" s="580">
        <v>174265456</v>
      </c>
      <c r="AD37" s="580">
        <v>205497307</v>
      </c>
      <c r="AE37" s="580">
        <v>240096066.70994699</v>
      </c>
      <c r="AF37" s="580">
        <v>266094075.119993</v>
      </c>
      <c r="AG37" s="580">
        <v>302931333.36004102</v>
      </c>
      <c r="AH37" s="580">
        <v>350253437.94977897</v>
      </c>
      <c r="AI37" s="580">
        <v>401262598.95981199</v>
      </c>
      <c r="AJ37" s="580">
        <v>452838751.7798</v>
      </c>
      <c r="AK37" s="580">
        <v>521358451.68002301</v>
      </c>
      <c r="AL37" s="592">
        <v>597272242.85046399</v>
      </c>
    </row>
    <row r="38" spans="1:38">
      <c r="B38" t="s">
        <v>8</v>
      </c>
      <c r="C38" s="580">
        <v>80523055.560058594</v>
      </c>
      <c r="D38" s="580">
        <v>103866452</v>
      </c>
      <c r="E38" s="580">
        <v>120526565</v>
      </c>
      <c r="F38" s="580">
        <v>134775624</v>
      </c>
      <c r="G38" s="580">
        <v>146041041.30004901</v>
      </c>
      <c r="H38" s="580">
        <v>158286246.12988299</v>
      </c>
      <c r="I38" s="580">
        <v>177314826.09008801</v>
      </c>
      <c r="J38" s="580">
        <v>197725726.070068</v>
      </c>
      <c r="K38" s="580">
        <v>223591931.25</v>
      </c>
      <c r="L38" s="580">
        <v>251256251.87011701</v>
      </c>
      <c r="M38" s="580">
        <v>275282436.41015601</v>
      </c>
      <c r="N38" s="592">
        <v>309832958.06005901</v>
      </c>
      <c r="O38" s="580">
        <v>1885086</v>
      </c>
      <c r="P38" s="580">
        <v>2330289</v>
      </c>
      <c r="Q38" s="580">
        <v>2579495</v>
      </c>
      <c r="R38" s="580">
        <v>2769540</v>
      </c>
      <c r="S38" s="580">
        <v>2771492.1199998902</v>
      </c>
      <c r="T38" s="580">
        <v>2885756.7500004801</v>
      </c>
      <c r="U38" s="580">
        <v>3038252.77000141</v>
      </c>
      <c r="V38" s="580">
        <v>3078174.7300019301</v>
      </c>
      <c r="W38" s="580">
        <v>3276135.9699988398</v>
      </c>
      <c r="X38" s="580">
        <v>3521505.2700004601</v>
      </c>
      <c r="Y38" s="580">
        <v>3296242.4099998502</v>
      </c>
      <c r="Z38" s="592">
        <v>3252619.38000107</v>
      </c>
      <c r="AA38" s="580">
        <v>82408141.560058594</v>
      </c>
      <c r="AB38" s="580">
        <v>106196741</v>
      </c>
      <c r="AC38" s="580">
        <v>123106060</v>
      </c>
      <c r="AD38" s="580">
        <v>137545164</v>
      </c>
      <c r="AE38" s="580">
        <v>148812533.42004901</v>
      </c>
      <c r="AF38" s="580">
        <v>161172002.87988299</v>
      </c>
      <c r="AG38" s="580">
        <v>180353078.860089</v>
      </c>
      <c r="AH38" s="580">
        <v>200803900.80006999</v>
      </c>
      <c r="AI38" s="580">
        <v>226868067.21999899</v>
      </c>
      <c r="AJ38" s="580">
        <v>254777757.140118</v>
      </c>
      <c r="AK38" s="580">
        <v>278578678.82015598</v>
      </c>
      <c r="AL38" s="592">
        <v>313085577.44006002</v>
      </c>
    </row>
    <row r="39" spans="1:38">
      <c r="B39" t="s">
        <v>9</v>
      </c>
      <c r="C39" s="580">
        <v>51249828.080017097</v>
      </c>
      <c r="D39" s="580">
        <v>65867283</v>
      </c>
      <c r="E39" s="580">
        <v>75814692</v>
      </c>
      <c r="F39" s="580">
        <v>83290999</v>
      </c>
      <c r="G39" s="580">
        <v>87192282.640014604</v>
      </c>
      <c r="H39" s="580">
        <v>94801192.310058594</v>
      </c>
      <c r="I39" s="580">
        <v>106154989.47998001</v>
      </c>
      <c r="J39" s="580">
        <v>118164222.060059</v>
      </c>
      <c r="K39" s="580">
        <v>134687602.889893</v>
      </c>
      <c r="L39" s="580">
        <v>153233180.68994099</v>
      </c>
      <c r="M39" s="580">
        <v>171068604.62988299</v>
      </c>
      <c r="N39" s="592">
        <v>196244219.51001</v>
      </c>
      <c r="O39" s="580">
        <v>1189733.4500007599</v>
      </c>
      <c r="P39" s="580">
        <v>1408441</v>
      </c>
      <c r="Q39" s="580">
        <v>1504044</v>
      </c>
      <c r="R39" s="580">
        <v>1506003</v>
      </c>
      <c r="S39" s="580">
        <v>1380009.0899996799</v>
      </c>
      <c r="T39" s="580">
        <v>1268092.92000008</v>
      </c>
      <c r="U39" s="580">
        <v>1189719.80999994</v>
      </c>
      <c r="V39" s="580">
        <v>1097471.4399995799</v>
      </c>
      <c r="W39" s="580">
        <v>1183128.0699996899</v>
      </c>
      <c r="X39" s="580">
        <v>1168175.0300006899</v>
      </c>
      <c r="Y39" s="580">
        <v>1321291.1399993901</v>
      </c>
      <c r="Z39" s="592">
        <v>1220073.6200008399</v>
      </c>
      <c r="AA39" s="580">
        <v>52439561.530017897</v>
      </c>
      <c r="AB39" s="580">
        <v>67275724</v>
      </c>
      <c r="AC39" s="580">
        <v>77318736</v>
      </c>
      <c r="AD39" s="580">
        <v>84797002</v>
      </c>
      <c r="AE39" s="580">
        <v>88572291.730014294</v>
      </c>
      <c r="AF39" s="580">
        <v>96069285.2300587</v>
      </c>
      <c r="AG39" s="580">
        <v>107344709.28997999</v>
      </c>
      <c r="AH39" s="580">
        <v>119261693.500058</v>
      </c>
      <c r="AI39" s="580">
        <v>135870730.959892</v>
      </c>
      <c r="AJ39" s="580">
        <v>154401355.719942</v>
      </c>
      <c r="AK39" s="580">
        <v>172389895.76988199</v>
      </c>
      <c r="AL39" s="592">
        <v>197464293.13001099</v>
      </c>
    </row>
    <row r="40" spans="1:38">
      <c r="B40" t="s">
        <v>10</v>
      </c>
      <c r="C40" s="580">
        <v>34566869.440002397</v>
      </c>
      <c r="D40" s="580">
        <v>44154082</v>
      </c>
      <c r="E40" s="580">
        <v>50599250</v>
      </c>
      <c r="F40" s="580">
        <v>53823797</v>
      </c>
      <c r="G40" s="580">
        <v>56600826.4099731</v>
      </c>
      <c r="H40" s="580">
        <v>61772380.510009803</v>
      </c>
      <c r="I40" s="580">
        <v>70236045.040039107</v>
      </c>
      <c r="J40" s="580">
        <v>85551632.610034198</v>
      </c>
      <c r="K40" s="580">
        <v>98571564.859941393</v>
      </c>
      <c r="L40" s="580">
        <v>111646252.969951</v>
      </c>
      <c r="M40" s="580">
        <v>127070737.650024</v>
      </c>
      <c r="N40" s="592">
        <v>147548823.10009801</v>
      </c>
      <c r="O40" s="580">
        <v>692645.82999992406</v>
      </c>
      <c r="P40" s="580">
        <v>819651</v>
      </c>
      <c r="Q40" s="580">
        <v>806367</v>
      </c>
      <c r="R40" s="580">
        <v>743879</v>
      </c>
      <c r="S40" s="580">
        <v>729984.69000005699</v>
      </c>
      <c r="T40" s="580">
        <v>854241.78999996197</v>
      </c>
      <c r="U40" s="580">
        <v>862695.04000008095</v>
      </c>
      <c r="V40" s="580">
        <v>1053675.6099997801</v>
      </c>
      <c r="W40" s="580">
        <v>1202208.70000064</v>
      </c>
      <c r="X40" s="580">
        <v>1177414.54000092</v>
      </c>
      <c r="Y40" s="580">
        <v>765661.69999980903</v>
      </c>
      <c r="Z40" s="592">
        <v>688610.229999542</v>
      </c>
      <c r="AA40" s="580">
        <v>35259515.270002402</v>
      </c>
      <c r="AB40" s="580">
        <v>44973733</v>
      </c>
      <c r="AC40" s="580">
        <v>51405617</v>
      </c>
      <c r="AD40" s="580">
        <v>54567676</v>
      </c>
      <c r="AE40" s="580">
        <v>57330811.099973202</v>
      </c>
      <c r="AF40" s="580">
        <v>62626622.300009698</v>
      </c>
      <c r="AG40" s="580">
        <v>71098740.080039099</v>
      </c>
      <c r="AH40" s="580">
        <v>86605308.220034003</v>
      </c>
      <c r="AI40" s="580">
        <v>99773773.559942096</v>
      </c>
      <c r="AJ40" s="580">
        <v>112823667.50995199</v>
      </c>
      <c r="AK40" s="580">
        <v>127836399.350024</v>
      </c>
      <c r="AL40" s="592">
        <v>148237433.33009699</v>
      </c>
    </row>
    <row r="41" spans="1:38">
      <c r="B41" t="s">
        <v>11</v>
      </c>
      <c r="C41" s="580">
        <v>25611030.4500122</v>
      </c>
      <c r="D41" s="580">
        <v>32391010</v>
      </c>
      <c r="E41" s="580">
        <v>35273239</v>
      </c>
      <c r="F41" s="580">
        <v>39050299</v>
      </c>
      <c r="G41" s="580">
        <v>45339607.5900122</v>
      </c>
      <c r="H41" s="580">
        <v>51579692.730014697</v>
      </c>
      <c r="I41" s="580">
        <v>54420935.770029299</v>
      </c>
      <c r="J41" s="580">
        <v>52093818.739990197</v>
      </c>
      <c r="K41" s="580">
        <v>60455835.710022002</v>
      </c>
      <c r="L41" s="580">
        <v>73377751.689941406</v>
      </c>
      <c r="M41" s="580">
        <v>63768444.080017097</v>
      </c>
      <c r="N41" s="592">
        <v>73774990.939941406</v>
      </c>
      <c r="O41" s="580">
        <v>624731.14000034297</v>
      </c>
      <c r="P41" s="580">
        <v>723482</v>
      </c>
      <c r="Q41" s="580">
        <v>639488</v>
      </c>
      <c r="R41" s="580">
        <v>690176</v>
      </c>
      <c r="S41" s="580">
        <v>661350.760000229</v>
      </c>
      <c r="T41" s="580">
        <v>504435.53999984299</v>
      </c>
      <c r="U41" s="580">
        <v>428898.93000012601</v>
      </c>
      <c r="V41" s="580">
        <v>153639.18</v>
      </c>
      <c r="W41" s="580">
        <v>162405.60999990301</v>
      </c>
      <c r="X41" s="580">
        <v>202976.06999993301</v>
      </c>
      <c r="Y41" s="580">
        <v>82243.970000028596</v>
      </c>
      <c r="Z41" s="592">
        <v>68616.639999985695</v>
      </c>
      <c r="AA41" s="580">
        <v>26235761.590012599</v>
      </c>
      <c r="AB41" s="580">
        <v>33114492</v>
      </c>
      <c r="AC41" s="580">
        <v>35912727</v>
      </c>
      <c r="AD41" s="580">
        <v>39740475</v>
      </c>
      <c r="AE41" s="580">
        <v>46000958.350012399</v>
      </c>
      <c r="AF41" s="580">
        <v>52084128.270014502</v>
      </c>
      <c r="AG41" s="580">
        <v>54849834.700029403</v>
      </c>
      <c r="AH41" s="580">
        <v>52247457.919990197</v>
      </c>
      <c r="AI41" s="580">
        <v>60618241.320021898</v>
      </c>
      <c r="AJ41" s="580">
        <v>73580727.759941295</v>
      </c>
      <c r="AK41" s="580">
        <v>63850688.050017104</v>
      </c>
      <c r="AL41" s="592">
        <v>73843607.579941407</v>
      </c>
    </row>
    <row r="42" spans="1:38">
      <c r="B42" t="s">
        <v>12</v>
      </c>
      <c r="C42" s="580">
        <v>16627109.960006701</v>
      </c>
      <c r="D42" s="580">
        <v>21624834</v>
      </c>
      <c r="E42" s="580">
        <v>29727629</v>
      </c>
      <c r="F42" s="580">
        <v>33783256</v>
      </c>
      <c r="G42" s="580">
        <v>20541406.5599976</v>
      </c>
      <c r="H42" s="580">
        <v>14444361.830001799</v>
      </c>
      <c r="I42" s="580">
        <v>16099137.5299988</v>
      </c>
      <c r="J42" s="580">
        <v>19106870.739990201</v>
      </c>
      <c r="K42" s="580">
        <v>20240063.670013402</v>
      </c>
      <c r="L42" s="580">
        <v>27134172.589996301</v>
      </c>
      <c r="M42" s="580">
        <v>17188872.239990201</v>
      </c>
      <c r="N42" s="592">
        <v>11481971.610000599</v>
      </c>
      <c r="O42" s="580">
        <v>276968.69999980897</v>
      </c>
      <c r="P42" s="580">
        <v>337403</v>
      </c>
      <c r="Q42" s="580">
        <v>470425</v>
      </c>
      <c r="R42" s="580">
        <v>365687</v>
      </c>
      <c r="S42" s="580">
        <v>83380.409999966607</v>
      </c>
      <c r="T42" s="580">
        <v>31741.909999996398</v>
      </c>
      <c r="U42" s="580">
        <v>31866.340000003602</v>
      </c>
      <c r="V42" s="580">
        <v>20252.159999996398</v>
      </c>
      <c r="W42" s="580">
        <v>9649.67000000179</v>
      </c>
      <c r="X42" s="580">
        <v>20883.8199999928</v>
      </c>
      <c r="Y42" s="580">
        <v>11417.060000002401</v>
      </c>
      <c r="Z42" s="592">
        <v>4118.1199999973196</v>
      </c>
      <c r="AA42" s="580">
        <v>16904078.660006501</v>
      </c>
      <c r="AB42" s="580">
        <v>21962237</v>
      </c>
      <c r="AC42" s="580">
        <v>30198054</v>
      </c>
      <c r="AD42" s="580">
        <v>34148943</v>
      </c>
      <c r="AE42" s="580">
        <v>20624786.969997499</v>
      </c>
      <c r="AF42" s="580">
        <v>14476103.7400018</v>
      </c>
      <c r="AG42" s="580">
        <v>16131003.8699988</v>
      </c>
      <c r="AH42" s="580">
        <v>19127122.899990201</v>
      </c>
      <c r="AI42" s="580">
        <v>20249713.3400134</v>
      </c>
      <c r="AJ42" s="580">
        <v>27155056.409996301</v>
      </c>
      <c r="AK42" s="580">
        <v>17200289.2999902</v>
      </c>
      <c r="AL42" s="592">
        <v>11486089.7300006</v>
      </c>
    </row>
    <row r="43" spans="1:38">
      <c r="B43" t="s">
        <v>13</v>
      </c>
      <c r="C43" s="580">
        <v>11697857.7299957</v>
      </c>
      <c r="D43" s="580">
        <v>17525655</v>
      </c>
      <c r="E43" s="580">
        <v>14421746</v>
      </c>
      <c r="F43" s="580">
        <v>6134181</v>
      </c>
      <c r="G43" s="580">
        <v>3199181.75</v>
      </c>
      <c r="H43" s="580">
        <v>4826227.8799972497</v>
      </c>
      <c r="I43" s="580">
        <v>6155109.0699996902</v>
      </c>
      <c r="J43" s="580">
        <v>79325.960000038103</v>
      </c>
      <c r="K43" s="580">
        <v>75944.25</v>
      </c>
      <c r="L43" s="580">
        <v>84449.149999976202</v>
      </c>
      <c r="M43" s="580">
        <v>94739.940000057206</v>
      </c>
      <c r="N43" s="592">
        <v>72126.590000033393</v>
      </c>
      <c r="O43" s="580">
        <v>112231.460000038</v>
      </c>
      <c r="P43" s="580">
        <v>147003</v>
      </c>
      <c r="Q43" s="580">
        <v>72550</v>
      </c>
      <c r="R43" s="580">
        <v>22548</v>
      </c>
      <c r="S43" s="580">
        <v>10555.8200000003</v>
      </c>
      <c r="T43" s="580">
        <v>8499.3500000014901</v>
      </c>
      <c r="U43" s="580">
        <v>3286.8000000007501</v>
      </c>
      <c r="V43" s="580">
        <v>3682.8000000007501</v>
      </c>
      <c r="W43" s="580">
        <v>4039.1999999992499</v>
      </c>
      <c r="X43" s="580">
        <v>0</v>
      </c>
      <c r="Y43" s="580">
        <v>0</v>
      </c>
      <c r="Z43" s="592">
        <v>0</v>
      </c>
      <c r="AA43" s="580">
        <v>11810089.189995799</v>
      </c>
      <c r="AB43" s="580">
        <v>17672658</v>
      </c>
      <c r="AC43" s="580">
        <v>14494296</v>
      </c>
      <c r="AD43" s="580">
        <v>6156729</v>
      </c>
      <c r="AE43" s="580">
        <v>3209737.57</v>
      </c>
      <c r="AF43" s="580">
        <v>4834727.2299972503</v>
      </c>
      <c r="AG43" s="580">
        <v>6158395.8699997002</v>
      </c>
      <c r="AH43" s="580">
        <v>83008.760000038907</v>
      </c>
      <c r="AI43" s="580">
        <v>79983.449999999299</v>
      </c>
      <c r="AJ43" s="580">
        <v>84449.149999976202</v>
      </c>
      <c r="AK43" s="580">
        <v>94739.940000057206</v>
      </c>
      <c r="AL43" s="592">
        <v>72126.590000033393</v>
      </c>
    </row>
    <row r="44" spans="1:38">
      <c r="B44" t="s">
        <v>14</v>
      </c>
      <c r="C44" s="580">
        <v>305635.30999994301</v>
      </c>
      <c r="D44" s="580">
        <v>336749</v>
      </c>
      <c r="E44" s="580">
        <v>1874111</v>
      </c>
      <c r="F44" s="580">
        <v>1601921</v>
      </c>
      <c r="G44" s="580">
        <v>459237.71999979002</v>
      </c>
      <c r="H44" s="580">
        <v>80215.299999952302</v>
      </c>
      <c r="I44" s="580">
        <v>67565.490000009493</v>
      </c>
      <c r="J44" s="580">
        <v>65475.2599999905</v>
      </c>
      <c r="K44" s="580">
        <v>71618.190000057206</v>
      </c>
      <c r="L44" s="580">
        <v>82512.539999961897</v>
      </c>
      <c r="M44" s="580">
        <v>15676.7699999958</v>
      </c>
      <c r="N44" s="592">
        <v>11363.5</v>
      </c>
      <c r="O44" s="580">
        <v>1673.2599999997799</v>
      </c>
      <c r="P44" s="580">
        <v>2003</v>
      </c>
      <c r="Q44" s="580">
        <v>4397</v>
      </c>
      <c r="R44" s="580">
        <v>5061</v>
      </c>
      <c r="S44" s="580">
        <v>0</v>
      </c>
      <c r="T44" s="580">
        <v>3059</v>
      </c>
      <c r="U44" s="580">
        <v>0</v>
      </c>
      <c r="V44" s="580">
        <v>0</v>
      </c>
      <c r="W44" s="580">
        <v>0</v>
      </c>
      <c r="X44" s="580">
        <v>0</v>
      </c>
      <c r="Y44" s="580">
        <v>0</v>
      </c>
      <c r="Z44" s="592">
        <v>0</v>
      </c>
      <c r="AA44" s="580">
        <v>307308.56999994302</v>
      </c>
      <c r="AB44" s="580">
        <v>338752</v>
      </c>
      <c r="AC44" s="580">
        <v>1878508</v>
      </c>
      <c r="AD44" s="580">
        <v>1606982</v>
      </c>
      <c r="AE44" s="580">
        <v>459237.71999979002</v>
      </c>
      <c r="AF44" s="580">
        <v>83274.299999952302</v>
      </c>
      <c r="AG44" s="580">
        <v>67565.490000009493</v>
      </c>
      <c r="AH44" s="580">
        <v>65475.2599999905</v>
      </c>
      <c r="AI44" s="580">
        <v>71618.190000057206</v>
      </c>
      <c r="AJ44" s="580">
        <v>82512.539999961897</v>
      </c>
      <c r="AK44" s="580">
        <v>15676.7699999958</v>
      </c>
      <c r="AL44" s="592">
        <v>11363.5</v>
      </c>
    </row>
    <row r="45" spans="1:38">
      <c r="B45" t="s">
        <v>15</v>
      </c>
      <c r="C45" s="580">
        <v>227165.41000008601</v>
      </c>
      <c r="D45" s="580">
        <v>232082</v>
      </c>
      <c r="E45" s="580">
        <v>595716</v>
      </c>
      <c r="F45" s="580">
        <v>101984</v>
      </c>
      <c r="G45" s="580">
        <v>63848.2599999905</v>
      </c>
      <c r="H45" s="580">
        <v>38710.029999971397</v>
      </c>
      <c r="I45" s="580">
        <v>15711.3400000036</v>
      </c>
      <c r="J45" s="580">
        <v>13233.900000006</v>
      </c>
      <c r="K45" s="580">
        <v>14537.4599999934</v>
      </c>
      <c r="L45" s="580">
        <v>10675.989999994599</v>
      </c>
      <c r="M45" s="580">
        <v>11905.239999994599</v>
      </c>
      <c r="N45" s="592">
        <v>12918.310000002401</v>
      </c>
      <c r="O45" s="580">
        <v>1840.4299999996999</v>
      </c>
      <c r="P45" s="580">
        <v>2203</v>
      </c>
      <c r="Q45" s="580">
        <v>0</v>
      </c>
      <c r="R45" s="580">
        <v>0</v>
      </c>
      <c r="S45" s="580">
        <v>0</v>
      </c>
      <c r="T45" s="580">
        <v>0</v>
      </c>
      <c r="U45" s="580">
        <v>0</v>
      </c>
      <c r="V45" s="580">
        <v>0</v>
      </c>
      <c r="W45" s="580">
        <v>0</v>
      </c>
      <c r="X45" s="580">
        <v>0</v>
      </c>
      <c r="Y45" s="580">
        <v>0</v>
      </c>
      <c r="Z45" s="592">
        <v>0</v>
      </c>
      <c r="AA45" s="580">
        <v>229005.840000086</v>
      </c>
      <c r="AB45" s="580">
        <v>234285</v>
      </c>
      <c r="AC45" s="580">
        <v>595716</v>
      </c>
      <c r="AD45" s="580">
        <v>101984</v>
      </c>
      <c r="AE45" s="580">
        <v>63848.2599999905</v>
      </c>
      <c r="AF45" s="580">
        <v>38710.029999971397</v>
      </c>
      <c r="AG45" s="580">
        <v>15711.3400000036</v>
      </c>
      <c r="AH45" s="580">
        <v>13233.900000006</v>
      </c>
      <c r="AI45" s="580">
        <v>14537.4599999934</v>
      </c>
      <c r="AJ45" s="580">
        <v>10675.989999994599</v>
      </c>
      <c r="AK45" s="580">
        <v>11905.239999994599</v>
      </c>
      <c r="AL45" s="592">
        <v>12918.310000002401</v>
      </c>
    </row>
    <row r="46" spans="1:38">
      <c r="B46" t="s">
        <v>16</v>
      </c>
      <c r="C46" s="580">
        <v>137918.51999998101</v>
      </c>
      <c r="D46" s="580">
        <v>126531</v>
      </c>
      <c r="E46" s="580">
        <v>91752</v>
      </c>
      <c r="F46" s="580">
        <v>27756</v>
      </c>
      <c r="G46" s="580">
        <v>23390.400000006</v>
      </c>
      <c r="H46" s="580">
        <v>17016.3599999994</v>
      </c>
      <c r="I46" s="580">
        <v>14140.240000002101</v>
      </c>
      <c r="J46" s="580">
        <v>15412.849999994</v>
      </c>
      <c r="K46" s="580">
        <v>5380.3100000023796</v>
      </c>
      <c r="L46" s="580">
        <v>5849.1400000005997</v>
      </c>
      <c r="M46" s="580">
        <v>6372.8400000035799</v>
      </c>
      <c r="N46" s="592">
        <v>6882.67000000179</v>
      </c>
      <c r="O46" s="580">
        <v>2004</v>
      </c>
      <c r="P46" s="580">
        <v>2405</v>
      </c>
      <c r="Q46" s="580">
        <v>2605</v>
      </c>
      <c r="R46" s="580">
        <v>0</v>
      </c>
      <c r="S46" s="580">
        <v>0</v>
      </c>
      <c r="T46" s="580">
        <v>0</v>
      </c>
      <c r="U46" s="580">
        <v>0</v>
      </c>
      <c r="V46" s="580">
        <v>0</v>
      </c>
      <c r="W46" s="580">
        <v>0</v>
      </c>
      <c r="X46" s="580">
        <v>0</v>
      </c>
      <c r="Y46" s="580">
        <v>0</v>
      </c>
      <c r="Z46" s="592">
        <v>0</v>
      </c>
      <c r="AA46" s="580">
        <v>139922.51999998101</v>
      </c>
      <c r="AB46" s="580">
        <v>128936</v>
      </c>
      <c r="AC46" s="580">
        <v>94357</v>
      </c>
      <c r="AD46" s="580">
        <v>27756</v>
      </c>
      <c r="AE46" s="580">
        <v>23390.400000006</v>
      </c>
      <c r="AF46" s="580">
        <v>17016.3599999994</v>
      </c>
      <c r="AG46" s="580">
        <v>14140.240000002101</v>
      </c>
      <c r="AH46" s="580">
        <v>15412.849999994</v>
      </c>
      <c r="AI46" s="580">
        <v>5380.3100000023796</v>
      </c>
      <c r="AJ46" s="580">
        <v>5849.1400000005997</v>
      </c>
      <c r="AK46" s="580">
        <v>6372.8400000035799</v>
      </c>
      <c r="AL46" s="592">
        <v>6882.67000000179</v>
      </c>
    </row>
    <row r="47" spans="1:38">
      <c r="B47" t="s">
        <v>17</v>
      </c>
      <c r="C47" s="580">
        <v>0</v>
      </c>
      <c r="D47" s="580">
        <v>0</v>
      </c>
      <c r="E47" s="580">
        <v>0</v>
      </c>
      <c r="F47" s="580">
        <v>8000</v>
      </c>
      <c r="G47" s="580">
        <v>0</v>
      </c>
      <c r="H47" s="580">
        <v>0</v>
      </c>
      <c r="I47" s="580">
        <v>0</v>
      </c>
      <c r="J47" s="580">
        <v>11470.239999994599</v>
      </c>
      <c r="K47" s="580">
        <v>11916.900000006</v>
      </c>
      <c r="L47" s="580">
        <v>12853.989999994599</v>
      </c>
      <c r="M47" s="580">
        <v>14024.379999995201</v>
      </c>
      <c r="N47" s="592">
        <v>15146.3199999928</v>
      </c>
      <c r="O47" s="580">
        <v>0</v>
      </c>
      <c r="P47" s="580">
        <v>0</v>
      </c>
      <c r="Q47" s="580">
        <v>0</v>
      </c>
      <c r="R47" s="580">
        <v>0</v>
      </c>
      <c r="S47" s="580">
        <v>0</v>
      </c>
      <c r="T47" s="580">
        <v>0</v>
      </c>
      <c r="U47" s="580">
        <v>0</v>
      </c>
      <c r="V47" s="580">
        <v>0</v>
      </c>
      <c r="W47" s="580">
        <v>0</v>
      </c>
      <c r="X47" s="580">
        <v>0</v>
      </c>
      <c r="Y47" s="580">
        <v>0</v>
      </c>
      <c r="Z47" s="592">
        <v>0</v>
      </c>
      <c r="AA47" s="580">
        <v>0</v>
      </c>
      <c r="AB47" s="580">
        <v>0</v>
      </c>
      <c r="AC47" s="580">
        <v>0</v>
      </c>
      <c r="AD47" s="580">
        <v>8000</v>
      </c>
      <c r="AE47" s="580">
        <v>0</v>
      </c>
      <c r="AF47" s="580">
        <v>0</v>
      </c>
      <c r="AG47" s="580">
        <v>0</v>
      </c>
      <c r="AH47" s="580">
        <v>11470.239999994599</v>
      </c>
      <c r="AI47" s="580">
        <v>11916.900000006</v>
      </c>
      <c r="AJ47" s="580">
        <v>12853.989999994599</v>
      </c>
      <c r="AK47" s="580">
        <v>14024.379999995201</v>
      </c>
      <c r="AL47" s="592">
        <v>15146.3199999928</v>
      </c>
    </row>
    <row r="48" spans="1:38">
      <c r="A48" s="104" t="s">
        <v>80</v>
      </c>
      <c r="B48" t="s">
        <v>3</v>
      </c>
      <c r="C48" s="580">
        <v>586451848.87998605</v>
      </c>
      <c r="D48" s="580">
        <v>760237034</v>
      </c>
      <c r="E48" s="580">
        <v>898534765</v>
      </c>
      <c r="F48" s="580">
        <v>1103148325</v>
      </c>
      <c r="G48" s="580">
        <v>1274288038.5100999</v>
      </c>
      <c r="H48" s="580">
        <v>1378709581.05003</v>
      </c>
      <c r="I48" s="580">
        <v>1557470900.7997999</v>
      </c>
      <c r="J48" s="580">
        <v>1763026915.6099999</v>
      </c>
      <c r="K48" s="580">
        <v>1983487788.0199699</v>
      </c>
      <c r="L48" s="580">
        <v>2189286360.3801899</v>
      </c>
      <c r="M48" s="580">
        <v>2463079684.27985</v>
      </c>
      <c r="N48" s="592">
        <v>2749866493.1700702</v>
      </c>
      <c r="O48" s="580">
        <v>85364691.450001195</v>
      </c>
      <c r="P48" s="580">
        <v>104052138</v>
      </c>
      <c r="Q48" s="580">
        <v>114000776</v>
      </c>
      <c r="R48" s="580">
        <v>134693213</v>
      </c>
      <c r="S48" s="580">
        <v>156164655.66000101</v>
      </c>
      <c r="T48" s="580">
        <v>166176329.930002</v>
      </c>
      <c r="U48" s="580">
        <v>181523622.75000101</v>
      </c>
      <c r="V48" s="580">
        <v>203024882.830001</v>
      </c>
      <c r="W48" s="580">
        <v>223545244.71999699</v>
      </c>
      <c r="X48" s="580">
        <v>239930712.09999701</v>
      </c>
      <c r="Y48" s="580">
        <v>275210831.650002</v>
      </c>
      <c r="Z48" s="592">
        <v>303395486.59000099</v>
      </c>
      <c r="AA48" s="580">
        <v>671816540.32998705</v>
      </c>
      <c r="AB48" s="580">
        <v>864289172</v>
      </c>
      <c r="AC48" s="580">
        <v>1012535541</v>
      </c>
      <c r="AD48" s="580">
        <v>1237841538</v>
      </c>
      <c r="AE48" s="580">
        <v>1430452694.1701</v>
      </c>
      <c r="AF48" s="580">
        <v>1544885910.9800401</v>
      </c>
      <c r="AG48" s="580">
        <v>1738994523.5497999</v>
      </c>
      <c r="AH48" s="580">
        <v>1966051798.4400101</v>
      </c>
      <c r="AI48" s="580">
        <v>2207033032.7399602</v>
      </c>
      <c r="AJ48" s="580">
        <v>2429217072.4801898</v>
      </c>
      <c r="AK48" s="580">
        <v>2738290515.9298601</v>
      </c>
      <c r="AL48" s="592">
        <v>3053261979.7600799</v>
      </c>
    </row>
    <row r="49" spans="1:38">
      <c r="B49" t="s">
        <v>5</v>
      </c>
      <c r="C49" s="580">
        <v>2094273.05999992</v>
      </c>
      <c r="D49" s="580">
        <v>2610494</v>
      </c>
      <c r="E49" s="580">
        <v>2971475</v>
      </c>
      <c r="F49" s="580">
        <v>3716456</v>
      </c>
      <c r="G49" s="580">
        <v>4745146.8300009202</v>
      </c>
      <c r="H49" s="580">
        <v>5567446.3800002998</v>
      </c>
      <c r="I49" s="580">
        <v>6141853.5300033595</v>
      </c>
      <c r="J49" s="580">
        <v>7705077.2499969499</v>
      </c>
      <c r="K49" s="580">
        <v>8782008.9799987804</v>
      </c>
      <c r="L49" s="580">
        <v>9658865.3199926801</v>
      </c>
      <c r="M49" s="580">
        <v>11295957.199999999</v>
      </c>
      <c r="N49" s="592">
        <v>12489051.3099951</v>
      </c>
      <c r="O49" s="580">
        <v>83309.009999990507</v>
      </c>
      <c r="P49" s="580">
        <v>106042</v>
      </c>
      <c r="Q49" s="580">
        <v>120667</v>
      </c>
      <c r="R49" s="580">
        <v>152272</v>
      </c>
      <c r="S49" s="580">
        <v>177941.140000024</v>
      </c>
      <c r="T49" s="580">
        <v>222463.49000004301</v>
      </c>
      <c r="U49" s="580">
        <v>199662.25</v>
      </c>
      <c r="V49" s="580">
        <v>275898.370000005</v>
      </c>
      <c r="W49" s="580">
        <v>306391.83999991399</v>
      </c>
      <c r="X49" s="580">
        <v>323521.84999990498</v>
      </c>
      <c r="Y49" s="580">
        <v>372245.42999982799</v>
      </c>
      <c r="Z49" s="592">
        <v>396500.63999986602</v>
      </c>
      <c r="AA49" s="580">
        <v>2177582.06999991</v>
      </c>
      <c r="AB49" s="580">
        <v>2716536</v>
      </c>
      <c r="AC49" s="580">
        <v>3092142</v>
      </c>
      <c r="AD49" s="580">
        <v>3868728</v>
      </c>
      <c r="AE49" s="580">
        <v>4923087.9700009404</v>
      </c>
      <c r="AF49" s="580">
        <v>5789909.8700003503</v>
      </c>
      <c r="AG49" s="580">
        <v>6341515.7800033595</v>
      </c>
      <c r="AH49" s="580">
        <v>7980975.61999695</v>
      </c>
      <c r="AI49" s="580">
        <v>9088400.8199986909</v>
      </c>
      <c r="AJ49" s="580">
        <v>9982387.1699925791</v>
      </c>
      <c r="AK49" s="580">
        <v>11668202.6299998</v>
      </c>
      <c r="AL49" s="592">
        <v>12885551.949995</v>
      </c>
    </row>
    <row r="50" spans="1:38">
      <c r="B50" t="s">
        <v>6</v>
      </c>
      <c r="C50" s="580">
        <v>250099200</v>
      </c>
      <c r="D50" s="580">
        <v>292512000</v>
      </c>
      <c r="E50" s="580">
        <v>319298980</v>
      </c>
      <c r="F50" s="580">
        <v>390732300</v>
      </c>
      <c r="G50" s="580">
        <v>475739950</v>
      </c>
      <c r="H50" s="580">
        <v>526185240</v>
      </c>
      <c r="I50" s="580">
        <v>584792270</v>
      </c>
      <c r="J50" s="580">
        <v>670209615</v>
      </c>
      <c r="K50" s="580">
        <v>729542250</v>
      </c>
      <c r="L50" s="580">
        <v>774078215</v>
      </c>
      <c r="M50" s="580">
        <v>927584246</v>
      </c>
      <c r="N50" s="592">
        <v>1008330414</v>
      </c>
      <c r="O50" s="580">
        <v>79464200</v>
      </c>
      <c r="P50" s="580">
        <v>95802000</v>
      </c>
      <c r="Q50" s="580">
        <v>104860600</v>
      </c>
      <c r="R50" s="580">
        <v>125142300</v>
      </c>
      <c r="S50" s="580">
        <v>147193550</v>
      </c>
      <c r="T50" s="580">
        <v>157507720</v>
      </c>
      <c r="U50" s="580">
        <v>173012255</v>
      </c>
      <c r="V50" s="580">
        <v>194677830</v>
      </c>
      <c r="W50" s="580">
        <v>214813530</v>
      </c>
      <c r="X50" s="580">
        <v>230798235</v>
      </c>
      <c r="Y50" s="580">
        <v>266472886</v>
      </c>
      <c r="Z50" s="592">
        <v>294370650</v>
      </c>
      <c r="AA50" s="580">
        <v>329563400</v>
      </c>
      <c r="AB50" s="580">
        <v>388314000</v>
      </c>
      <c r="AC50" s="580">
        <v>424159580</v>
      </c>
      <c r="AD50" s="580">
        <v>515874600</v>
      </c>
      <c r="AE50" s="580">
        <v>622933500</v>
      </c>
      <c r="AF50" s="580">
        <v>683692960</v>
      </c>
      <c r="AG50" s="580">
        <v>757804525</v>
      </c>
      <c r="AH50" s="580">
        <v>864887445</v>
      </c>
      <c r="AI50" s="580">
        <v>944355780</v>
      </c>
      <c r="AJ50" s="580">
        <v>1004876450</v>
      </c>
      <c r="AK50" s="580">
        <v>1194057132</v>
      </c>
      <c r="AL50" s="592">
        <v>1302701064</v>
      </c>
    </row>
    <row r="51" spans="1:38">
      <c r="B51" t="s">
        <v>7</v>
      </c>
      <c r="C51" s="580">
        <v>95182425.709964201</v>
      </c>
      <c r="D51" s="580">
        <v>129914291</v>
      </c>
      <c r="E51" s="580">
        <v>153129971</v>
      </c>
      <c r="F51" s="580">
        <v>189696720</v>
      </c>
      <c r="G51" s="580">
        <v>231245746.08008799</v>
      </c>
      <c r="H51" s="580">
        <v>252654263.99000001</v>
      </c>
      <c r="I51" s="580">
        <v>295715605.80980498</v>
      </c>
      <c r="J51" s="580">
        <v>348939680.65996099</v>
      </c>
      <c r="K51" s="580">
        <v>411732455.64994103</v>
      </c>
      <c r="L51" s="580">
        <v>465341980.24001998</v>
      </c>
      <c r="M51" s="580">
        <v>536607374.569785</v>
      </c>
      <c r="N51" s="592">
        <v>618594863.17003906</v>
      </c>
      <c r="O51" s="580">
        <v>3609315.2200012198</v>
      </c>
      <c r="P51" s="580">
        <v>4983801</v>
      </c>
      <c r="Q51" s="580">
        <v>5558002</v>
      </c>
      <c r="R51" s="580">
        <v>6026421</v>
      </c>
      <c r="S51" s="580">
        <v>5976772.71000126</v>
      </c>
      <c r="T51" s="580">
        <v>5921637.9400011702</v>
      </c>
      <c r="U51" s="580">
        <v>5955528.0500003099</v>
      </c>
      <c r="V51" s="580">
        <v>5921234.9200012702</v>
      </c>
      <c r="W51" s="580">
        <v>6150735.1499984898</v>
      </c>
      <c r="X51" s="580">
        <v>6399424.6999969501</v>
      </c>
      <c r="Y51" s="580">
        <v>6252870.8000030499</v>
      </c>
      <c r="Z51" s="592">
        <v>6525719.3199996902</v>
      </c>
      <c r="AA51" s="580">
        <v>98791740.929965407</v>
      </c>
      <c r="AB51" s="580">
        <v>134898092</v>
      </c>
      <c r="AC51" s="580">
        <v>158687973</v>
      </c>
      <c r="AD51" s="580">
        <v>195723141</v>
      </c>
      <c r="AE51" s="580">
        <v>237222518.79008901</v>
      </c>
      <c r="AF51" s="580">
        <v>258575901.93000099</v>
      </c>
      <c r="AG51" s="580">
        <v>301671133.85980499</v>
      </c>
      <c r="AH51" s="580">
        <v>354860915.57996202</v>
      </c>
      <c r="AI51" s="580">
        <v>417883190.79993999</v>
      </c>
      <c r="AJ51" s="580">
        <v>471741404.94001698</v>
      </c>
      <c r="AK51" s="580">
        <v>542860245.36978805</v>
      </c>
      <c r="AL51" s="592">
        <v>625120582.49003899</v>
      </c>
    </row>
    <row r="52" spans="1:38">
      <c r="B52" t="s">
        <v>8</v>
      </c>
      <c r="C52" s="580">
        <v>66534001.779969998</v>
      </c>
      <c r="D52" s="580">
        <v>89957022</v>
      </c>
      <c r="E52" s="580">
        <v>111735433</v>
      </c>
      <c r="F52" s="580">
        <v>141412062</v>
      </c>
      <c r="G52" s="580">
        <v>165298697.83998999</v>
      </c>
      <c r="H52" s="580">
        <v>182010093.24002001</v>
      </c>
      <c r="I52" s="580">
        <v>211821431.53996101</v>
      </c>
      <c r="J52" s="580">
        <v>246352110.59003901</v>
      </c>
      <c r="K52" s="580">
        <v>283206705.04013699</v>
      </c>
      <c r="L52" s="580">
        <v>320363588.30017602</v>
      </c>
      <c r="M52" s="580">
        <v>364742581.46002001</v>
      </c>
      <c r="N52" s="592">
        <v>419026906.18001902</v>
      </c>
      <c r="O52" s="580">
        <v>1297355.15999985</v>
      </c>
      <c r="P52" s="580">
        <v>1865950</v>
      </c>
      <c r="Q52" s="580">
        <v>2051517</v>
      </c>
      <c r="R52" s="580">
        <v>2067122</v>
      </c>
      <c r="S52" s="580">
        <v>1786081.7000001699</v>
      </c>
      <c r="T52" s="580">
        <v>1609960.5000007199</v>
      </c>
      <c r="U52" s="580">
        <v>1517757.9100002099</v>
      </c>
      <c r="V52" s="580">
        <v>1387300.19</v>
      </c>
      <c r="W52" s="580">
        <v>1448663.0599991099</v>
      </c>
      <c r="X52" s="580">
        <v>1487146.0300006899</v>
      </c>
      <c r="Y52" s="580">
        <v>1334316.0699996899</v>
      </c>
      <c r="Z52" s="592">
        <v>1331169.9500007599</v>
      </c>
      <c r="AA52" s="580">
        <v>67831356.939969793</v>
      </c>
      <c r="AB52" s="580">
        <v>91822972</v>
      </c>
      <c r="AC52" s="580">
        <v>113786950</v>
      </c>
      <c r="AD52" s="580">
        <v>143479184</v>
      </c>
      <c r="AE52" s="580">
        <v>167084779.53999001</v>
      </c>
      <c r="AF52" s="580">
        <v>183620053.74002001</v>
      </c>
      <c r="AG52" s="580">
        <v>213339189.44996101</v>
      </c>
      <c r="AH52" s="580">
        <v>247739410.78003901</v>
      </c>
      <c r="AI52" s="580">
        <v>284655368.10013598</v>
      </c>
      <c r="AJ52" s="580">
        <v>321850734.330176</v>
      </c>
      <c r="AK52" s="580">
        <v>366076897.53001899</v>
      </c>
      <c r="AL52" s="592">
        <v>420358076.13002002</v>
      </c>
    </row>
    <row r="53" spans="1:38">
      <c r="B53" t="s">
        <v>9</v>
      </c>
      <c r="C53" s="580">
        <v>48344450.549986802</v>
      </c>
      <c r="D53" s="580">
        <v>65687309</v>
      </c>
      <c r="E53" s="580">
        <v>82387609</v>
      </c>
      <c r="F53" s="580">
        <v>106639619</v>
      </c>
      <c r="G53" s="580">
        <v>127819045.41999499</v>
      </c>
      <c r="H53" s="580">
        <v>140163600.77002901</v>
      </c>
      <c r="I53" s="580">
        <v>162039260.22999999</v>
      </c>
      <c r="J53" s="580">
        <v>183693316.33996099</v>
      </c>
      <c r="K53" s="580">
        <v>210048756.43989301</v>
      </c>
      <c r="L53" s="580">
        <v>236752975.72005901</v>
      </c>
      <c r="M53" s="580">
        <v>260877443.28999999</v>
      </c>
      <c r="N53" s="592">
        <v>301275564.47011697</v>
      </c>
      <c r="O53" s="580">
        <v>434015</v>
      </c>
      <c r="P53" s="580">
        <v>657212</v>
      </c>
      <c r="Q53" s="580">
        <v>742435</v>
      </c>
      <c r="R53" s="580">
        <v>698639</v>
      </c>
      <c r="S53" s="580">
        <v>574181.64999958896</v>
      </c>
      <c r="T53" s="580">
        <v>538712.89000004495</v>
      </c>
      <c r="U53" s="580">
        <v>515527.44999989902</v>
      </c>
      <c r="V53" s="580">
        <v>485477.00999993098</v>
      </c>
      <c r="W53" s="580">
        <v>496806.879999995</v>
      </c>
      <c r="X53" s="580">
        <v>523766.69999980897</v>
      </c>
      <c r="Y53" s="580">
        <v>496703.53999996203</v>
      </c>
      <c r="Z53" s="592">
        <v>522748.78000020998</v>
      </c>
      <c r="AA53" s="580">
        <v>48778465.549986802</v>
      </c>
      <c r="AB53" s="580">
        <v>66344521</v>
      </c>
      <c r="AC53" s="580">
        <v>83130044</v>
      </c>
      <c r="AD53" s="580">
        <v>107338258</v>
      </c>
      <c r="AE53" s="580">
        <v>128393227.069995</v>
      </c>
      <c r="AF53" s="580">
        <v>140702313.66002899</v>
      </c>
      <c r="AG53" s="580">
        <v>162554787.68000001</v>
      </c>
      <c r="AH53" s="580">
        <v>184178793.34996101</v>
      </c>
      <c r="AI53" s="580">
        <v>210545563.319893</v>
      </c>
      <c r="AJ53" s="580">
        <v>237276742.42005801</v>
      </c>
      <c r="AK53" s="580">
        <v>261374146.83000001</v>
      </c>
      <c r="AL53" s="592">
        <v>301798313.250117</v>
      </c>
    </row>
    <row r="54" spans="1:38">
      <c r="B54" t="s">
        <v>10</v>
      </c>
      <c r="C54" s="580">
        <v>39634614.740053102</v>
      </c>
      <c r="D54" s="580">
        <v>54409769</v>
      </c>
      <c r="E54" s="580">
        <v>68312982</v>
      </c>
      <c r="F54" s="580">
        <v>85388351</v>
      </c>
      <c r="G54" s="580">
        <v>95934206.590009704</v>
      </c>
      <c r="H54" s="580">
        <v>110061964.319951</v>
      </c>
      <c r="I54" s="580">
        <v>133122624.640039</v>
      </c>
      <c r="J54" s="580">
        <v>161454214.350068</v>
      </c>
      <c r="K54" s="580">
        <v>183418428.49993199</v>
      </c>
      <c r="L54" s="580">
        <v>200075764.22005901</v>
      </c>
      <c r="M54" s="580">
        <v>232817729.51004899</v>
      </c>
      <c r="N54" s="592">
        <v>271822530.58996099</v>
      </c>
      <c r="O54" s="580">
        <v>226625.65000009499</v>
      </c>
      <c r="P54" s="580">
        <v>297660</v>
      </c>
      <c r="Q54" s="580">
        <v>323594</v>
      </c>
      <c r="R54" s="580">
        <v>325953</v>
      </c>
      <c r="S54" s="580">
        <v>282429.30000004201</v>
      </c>
      <c r="T54" s="580">
        <v>265266.78000001598</v>
      </c>
      <c r="U54" s="580">
        <v>241205.760000065</v>
      </c>
      <c r="V54" s="580">
        <v>244841.83999996301</v>
      </c>
      <c r="W54" s="580">
        <v>263306.24999992503</v>
      </c>
      <c r="X54" s="580">
        <v>290151.239999771</v>
      </c>
      <c r="Y54" s="580">
        <v>220196.619999886</v>
      </c>
      <c r="Z54" s="592">
        <v>203197.72000002899</v>
      </c>
      <c r="AA54" s="580">
        <v>39861240.390053198</v>
      </c>
      <c r="AB54" s="580">
        <v>54707429</v>
      </c>
      <c r="AC54" s="580">
        <v>68636576</v>
      </c>
      <c r="AD54" s="580">
        <v>85714304</v>
      </c>
      <c r="AE54" s="580">
        <v>96216635.890009806</v>
      </c>
      <c r="AF54" s="580">
        <v>110327231.099951</v>
      </c>
      <c r="AG54" s="580">
        <v>133363830.400039</v>
      </c>
      <c r="AH54" s="580">
        <v>161699056.19006801</v>
      </c>
      <c r="AI54" s="580">
        <v>183681734.74993199</v>
      </c>
      <c r="AJ54" s="580">
        <v>200365915.460058</v>
      </c>
      <c r="AK54" s="580">
        <v>233037926.13004899</v>
      </c>
      <c r="AL54" s="592">
        <v>272025728.30996102</v>
      </c>
    </row>
    <row r="55" spans="1:38">
      <c r="B55" t="s">
        <v>11</v>
      </c>
      <c r="C55" s="580">
        <v>31759288.600005101</v>
      </c>
      <c r="D55" s="580">
        <v>44126005</v>
      </c>
      <c r="E55" s="580">
        <v>53808385</v>
      </c>
      <c r="F55" s="580">
        <v>79021608</v>
      </c>
      <c r="G55" s="580">
        <v>100300855.76003399</v>
      </c>
      <c r="H55" s="580">
        <v>121222181.010029</v>
      </c>
      <c r="I55" s="580">
        <v>125975980.79999501</v>
      </c>
      <c r="J55" s="580">
        <v>127078044.02999</v>
      </c>
      <c r="K55" s="580">
        <v>142145462.06005901</v>
      </c>
      <c r="L55" s="580">
        <v>165084538.819893</v>
      </c>
      <c r="M55" s="580">
        <v>119167944.300005</v>
      </c>
      <c r="N55" s="592">
        <v>111847987.989941</v>
      </c>
      <c r="O55" s="580">
        <v>112371.960000038</v>
      </c>
      <c r="P55" s="580">
        <v>169839</v>
      </c>
      <c r="Q55" s="580">
        <v>188581</v>
      </c>
      <c r="R55" s="580">
        <v>195640</v>
      </c>
      <c r="S55" s="580">
        <v>145545.78999994299</v>
      </c>
      <c r="T55" s="580">
        <v>108212.580000043</v>
      </c>
      <c r="U55" s="580">
        <v>81686.330000042901</v>
      </c>
      <c r="V55" s="580">
        <v>32300.5</v>
      </c>
      <c r="W55" s="580">
        <v>42989.879999995203</v>
      </c>
      <c r="X55" s="580">
        <v>70205.840000033393</v>
      </c>
      <c r="Y55" s="580">
        <v>50305.870000004797</v>
      </c>
      <c r="Z55" s="592">
        <v>45500.180000007203</v>
      </c>
      <c r="AA55" s="580">
        <v>31871660.560005199</v>
      </c>
      <c r="AB55" s="580">
        <v>44295844</v>
      </c>
      <c r="AC55" s="580">
        <v>53996966</v>
      </c>
      <c r="AD55" s="580">
        <v>79217248</v>
      </c>
      <c r="AE55" s="580">
        <v>100446401.550034</v>
      </c>
      <c r="AF55" s="580">
        <v>121330393.590029</v>
      </c>
      <c r="AG55" s="580">
        <v>126057667.129995</v>
      </c>
      <c r="AH55" s="580">
        <v>127110344.52999</v>
      </c>
      <c r="AI55" s="580">
        <v>142188451.94005901</v>
      </c>
      <c r="AJ55" s="580">
        <v>165154744.65989301</v>
      </c>
      <c r="AK55" s="580">
        <v>119218250.17000499</v>
      </c>
      <c r="AL55" s="592">
        <v>111893488.16994099</v>
      </c>
    </row>
    <row r="56" spans="1:38">
      <c r="B56" t="s">
        <v>12</v>
      </c>
      <c r="C56" s="580">
        <v>32937592.620030999</v>
      </c>
      <c r="D56" s="580">
        <v>45212344</v>
      </c>
      <c r="E56" s="580">
        <v>61002691</v>
      </c>
      <c r="F56" s="580">
        <v>80862592</v>
      </c>
      <c r="G56" s="580">
        <v>68014835.479980499</v>
      </c>
      <c r="H56" s="580">
        <v>37351548.100002401</v>
      </c>
      <c r="I56" s="580">
        <v>33799968.429995097</v>
      </c>
      <c r="J56" s="580">
        <v>16980571.649987798</v>
      </c>
      <c r="K56" s="580">
        <v>14049745.4200067</v>
      </c>
      <c r="L56" s="580">
        <v>17373452.039990202</v>
      </c>
      <c r="M56" s="580">
        <v>9504820.7199945208</v>
      </c>
      <c r="N56" s="592">
        <v>6026236.8700012304</v>
      </c>
      <c r="O56" s="580">
        <v>107791.440000057</v>
      </c>
      <c r="P56" s="580">
        <v>133890</v>
      </c>
      <c r="Q56" s="580">
        <v>122675</v>
      </c>
      <c r="R56" s="580">
        <v>80552</v>
      </c>
      <c r="S56" s="580">
        <v>28153.370000004801</v>
      </c>
      <c r="T56" s="580">
        <v>2355.75</v>
      </c>
      <c r="U56" s="580">
        <v>0</v>
      </c>
      <c r="V56" s="580">
        <v>0</v>
      </c>
      <c r="W56" s="580">
        <v>22821.659999996398</v>
      </c>
      <c r="X56" s="580">
        <v>38260.7400000095</v>
      </c>
      <c r="Y56" s="580">
        <v>11307.3199999928</v>
      </c>
      <c r="Z56" s="592">
        <v>0</v>
      </c>
      <c r="AA56" s="580">
        <v>33045384.060031101</v>
      </c>
      <c r="AB56" s="580">
        <v>45346234</v>
      </c>
      <c r="AC56" s="580">
        <v>61125366</v>
      </c>
      <c r="AD56" s="580">
        <v>80943144</v>
      </c>
      <c r="AE56" s="580">
        <v>68042988.849980503</v>
      </c>
      <c r="AF56" s="580">
        <v>37353903.850002401</v>
      </c>
      <c r="AG56" s="580">
        <v>33799968.429995097</v>
      </c>
      <c r="AH56" s="580">
        <v>16980571.649987798</v>
      </c>
      <c r="AI56" s="580">
        <v>14072567.0800067</v>
      </c>
      <c r="AJ56" s="580">
        <v>17411712.779990301</v>
      </c>
      <c r="AK56" s="580">
        <v>9516128.0399945099</v>
      </c>
      <c r="AL56" s="592">
        <v>6026236.8700012304</v>
      </c>
    </row>
    <row r="57" spans="1:38">
      <c r="B57" t="s">
        <v>13</v>
      </c>
      <c r="C57" s="580">
        <v>18523812.2599754</v>
      </c>
      <c r="D57" s="580">
        <v>34420772</v>
      </c>
      <c r="E57" s="580">
        <v>40789591</v>
      </c>
      <c r="F57" s="580">
        <v>23787680</v>
      </c>
      <c r="G57" s="580">
        <v>4173449.8999981601</v>
      </c>
      <c r="H57" s="580">
        <v>2967841.37000152</v>
      </c>
      <c r="I57" s="580">
        <v>3602862.0800018301</v>
      </c>
      <c r="J57" s="580">
        <v>227437.70000008499</v>
      </c>
      <c r="K57" s="580">
        <v>189855.620000072</v>
      </c>
      <c r="L57" s="580">
        <v>157002.629999906</v>
      </c>
      <c r="M57" s="580">
        <v>168615.00999999</v>
      </c>
      <c r="N57" s="592">
        <v>209514.41000008601</v>
      </c>
      <c r="O57" s="580">
        <v>29708.0099999905</v>
      </c>
      <c r="P57" s="580">
        <v>35744</v>
      </c>
      <c r="Q57" s="580">
        <v>32705</v>
      </c>
      <c r="R57" s="580">
        <v>4314</v>
      </c>
      <c r="S57" s="580">
        <v>0</v>
      </c>
      <c r="T57" s="580">
        <v>0</v>
      </c>
      <c r="U57" s="580">
        <v>0</v>
      </c>
      <c r="V57" s="580">
        <v>0</v>
      </c>
      <c r="W57" s="580">
        <v>0</v>
      </c>
      <c r="X57" s="580">
        <v>0</v>
      </c>
      <c r="Y57" s="580">
        <v>0</v>
      </c>
      <c r="Z57" s="592">
        <v>0</v>
      </c>
      <c r="AA57" s="580">
        <v>18553520.269975401</v>
      </c>
      <c r="AB57" s="580">
        <v>34456516</v>
      </c>
      <c r="AC57" s="580">
        <v>40822296</v>
      </c>
      <c r="AD57" s="580">
        <v>23791994</v>
      </c>
      <c r="AE57" s="580">
        <v>4173449.8999981601</v>
      </c>
      <c r="AF57" s="580">
        <v>2967841.37000152</v>
      </c>
      <c r="AG57" s="580">
        <v>3602862.0800018301</v>
      </c>
      <c r="AH57" s="580">
        <v>227437.70000008499</v>
      </c>
      <c r="AI57" s="580">
        <v>189855.620000072</v>
      </c>
      <c r="AJ57" s="580">
        <v>157002.629999906</v>
      </c>
      <c r="AK57" s="580">
        <v>168615.00999999</v>
      </c>
      <c r="AL57" s="592">
        <v>209514.41000008601</v>
      </c>
    </row>
    <row r="58" spans="1:38">
      <c r="B58" t="s">
        <v>14</v>
      </c>
      <c r="C58" s="580">
        <v>502001.90000015497</v>
      </c>
      <c r="D58" s="580">
        <v>515897</v>
      </c>
      <c r="E58" s="580">
        <v>4089180</v>
      </c>
      <c r="F58" s="580">
        <v>1307148</v>
      </c>
      <c r="G58" s="580">
        <v>614351.36000007403</v>
      </c>
      <c r="H58" s="580">
        <v>179499.729999945</v>
      </c>
      <c r="I58" s="580">
        <v>217480.69000008001</v>
      </c>
      <c r="J58" s="580">
        <v>175176.65999992899</v>
      </c>
      <c r="K58" s="580">
        <v>162999.92000002399</v>
      </c>
      <c r="L58" s="580">
        <v>174533.759999976</v>
      </c>
      <c r="M58" s="580">
        <v>118285.320000052</v>
      </c>
      <c r="N58" s="592">
        <v>80259.300000056595</v>
      </c>
      <c r="O58" s="580">
        <v>0</v>
      </c>
      <c r="P58" s="580">
        <v>0</v>
      </c>
      <c r="Q58" s="580">
        <v>0</v>
      </c>
      <c r="R58" s="580">
        <v>0</v>
      </c>
      <c r="S58" s="580">
        <v>0</v>
      </c>
      <c r="T58" s="580">
        <v>0</v>
      </c>
      <c r="U58" s="580">
        <v>0</v>
      </c>
      <c r="V58" s="580">
        <v>0</v>
      </c>
      <c r="W58" s="580">
        <v>0</v>
      </c>
      <c r="X58" s="580">
        <v>0</v>
      </c>
      <c r="Y58" s="580">
        <v>0</v>
      </c>
      <c r="Z58" s="592">
        <v>0</v>
      </c>
      <c r="AA58" s="580">
        <v>502001.90000015497</v>
      </c>
      <c r="AB58" s="580">
        <v>515897</v>
      </c>
      <c r="AC58" s="580">
        <v>4089180</v>
      </c>
      <c r="AD58" s="580">
        <v>1307148</v>
      </c>
      <c r="AE58" s="580">
        <v>614351.36000007403</v>
      </c>
      <c r="AF58" s="580">
        <v>179499.729999945</v>
      </c>
      <c r="AG58" s="580">
        <v>217480.69000008001</v>
      </c>
      <c r="AH58" s="580">
        <v>175176.65999992899</v>
      </c>
      <c r="AI58" s="580">
        <v>162999.92000002399</v>
      </c>
      <c r="AJ58" s="580">
        <v>174533.759999976</v>
      </c>
      <c r="AK58" s="580">
        <v>118285.320000052</v>
      </c>
      <c r="AL58" s="592">
        <v>80259.300000056595</v>
      </c>
    </row>
    <row r="59" spans="1:38">
      <c r="B59" t="s">
        <v>15</v>
      </c>
      <c r="C59" s="580">
        <v>275758.809999883</v>
      </c>
      <c r="D59" s="580">
        <v>304325</v>
      </c>
      <c r="E59" s="580">
        <v>483149</v>
      </c>
      <c r="F59" s="580">
        <v>228494</v>
      </c>
      <c r="G59" s="580">
        <v>133390.01000004599</v>
      </c>
      <c r="H59" s="580">
        <v>147019.30000007199</v>
      </c>
      <c r="I59" s="580">
        <v>66708</v>
      </c>
      <c r="J59" s="580">
        <v>47943.309999980003</v>
      </c>
      <c r="K59" s="580">
        <v>53394.340000018499</v>
      </c>
      <c r="L59" s="580">
        <v>61856.090000003598</v>
      </c>
      <c r="M59" s="580">
        <v>41137.489999994599</v>
      </c>
      <c r="N59" s="592">
        <v>26092.100000008901</v>
      </c>
      <c r="O59" s="580">
        <v>0</v>
      </c>
      <c r="P59" s="580">
        <v>0</v>
      </c>
      <c r="Q59" s="580">
        <v>0</v>
      </c>
      <c r="R59" s="580">
        <v>0</v>
      </c>
      <c r="S59" s="580">
        <v>0</v>
      </c>
      <c r="T59" s="580">
        <v>0</v>
      </c>
      <c r="U59" s="580">
        <v>0</v>
      </c>
      <c r="V59" s="580">
        <v>0</v>
      </c>
      <c r="W59" s="580">
        <v>0</v>
      </c>
      <c r="X59" s="580">
        <v>0</v>
      </c>
      <c r="Y59" s="580">
        <v>0</v>
      </c>
      <c r="Z59" s="592">
        <v>0</v>
      </c>
      <c r="AA59" s="580">
        <v>275758.809999883</v>
      </c>
      <c r="AB59" s="580">
        <v>304325</v>
      </c>
      <c r="AC59" s="580">
        <v>483149</v>
      </c>
      <c r="AD59" s="580">
        <v>228494</v>
      </c>
      <c r="AE59" s="580">
        <v>133390.01000004599</v>
      </c>
      <c r="AF59" s="580">
        <v>147019.30000007199</v>
      </c>
      <c r="AG59" s="580">
        <v>66708</v>
      </c>
      <c r="AH59" s="580">
        <v>47943.309999980003</v>
      </c>
      <c r="AI59" s="580">
        <v>53394.340000018499</v>
      </c>
      <c r="AJ59" s="580">
        <v>61856.090000003598</v>
      </c>
      <c r="AK59" s="580">
        <v>41137.489999994599</v>
      </c>
      <c r="AL59" s="592">
        <v>26092.100000008901</v>
      </c>
    </row>
    <row r="60" spans="1:38">
      <c r="B60" t="s">
        <v>16</v>
      </c>
      <c r="C60" s="580">
        <v>462999.03000009101</v>
      </c>
      <c r="D60" s="580">
        <v>480211</v>
      </c>
      <c r="E60" s="580">
        <v>437451</v>
      </c>
      <c r="F60" s="580">
        <v>299038</v>
      </c>
      <c r="G60" s="580">
        <v>227774.929999955</v>
      </c>
      <c r="H60" s="580">
        <v>157195.34999999401</v>
      </c>
      <c r="I60" s="580">
        <v>147678.03000001601</v>
      </c>
      <c r="J60" s="580">
        <v>143596.64000000799</v>
      </c>
      <c r="K60" s="580">
        <v>144953.56999997</v>
      </c>
      <c r="L60" s="580">
        <v>152118.789999962</v>
      </c>
      <c r="M60" s="580">
        <v>153549.41000002599</v>
      </c>
      <c r="N60" s="592">
        <v>137072.77999997101</v>
      </c>
      <c r="O60" s="580">
        <v>0</v>
      </c>
      <c r="P60" s="580">
        <v>0</v>
      </c>
      <c r="Q60" s="580">
        <v>0</v>
      </c>
      <c r="R60" s="580">
        <v>0</v>
      </c>
      <c r="S60" s="580">
        <v>0</v>
      </c>
      <c r="T60" s="580">
        <v>0</v>
      </c>
      <c r="U60" s="580">
        <v>0</v>
      </c>
      <c r="V60" s="580">
        <v>0</v>
      </c>
      <c r="W60" s="580">
        <v>0</v>
      </c>
      <c r="X60" s="580">
        <v>0</v>
      </c>
      <c r="Y60" s="580">
        <v>0</v>
      </c>
      <c r="Z60" s="592">
        <v>0</v>
      </c>
      <c r="AA60" s="580">
        <v>462999.03000009101</v>
      </c>
      <c r="AB60" s="580">
        <v>480211</v>
      </c>
      <c r="AC60" s="580">
        <v>437451</v>
      </c>
      <c r="AD60" s="580">
        <v>299038</v>
      </c>
      <c r="AE60" s="580">
        <v>227774.929999955</v>
      </c>
      <c r="AF60" s="580">
        <v>157195.34999999401</v>
      </c>
      <c r="AG60" s="580">
        <v>147678.03000001601</v>
      </c>
      <c r="AH60" s="580">
        <v>143596.64000000799</v>
      </c>
      <c r="AI60" s="580">
        <v>144953.56999997</v>
      </c>
      <c r="AJ60" s="580">
        <v>152118.789999962</v>
      </c>
      <c r="AK60" s="580">
        <v>153549.41000002599</v>
      </c>
      <c r="AL60" s="592">
        <v>137072.77999997101</v>
      </c>
    </row>
    <row r="61" spans="1:38">
      <c r="B61" t="s">
        <v>17</v>
      </c>
      <c r="C61" s="580">
        <v>101429.81999999299</v>
      </c>
      <c r="D61" s="580">
        <v>86595</v>
      </c>
      <c r="E61" s="580">
        <v>87868</v>
      </c>
      <c r="F61" s="580">
        <v>56257</v>
      </c>
      <c r="G61" s="580">
        <v>40588.310000009798</v>
      </c>
      <c r="H61" s="580">
        <v>41687.490000017002</v>
      </c>
      <c r="I61" s="580">
        <v>27177.019999995799</v>
      </c>
      <c r="J61" s="580">
        <v>20131.4300000072</v>
      </c>
      <c r="K61" s="580">
        <v>10772.4800000042</v>
      </c>
      <c r="L61" s="580">
        <v>11469.450000003</v>
      </c>
      <c r="M61" s="580">
        <v>0</v>
      </c>
      <c r="N61" s="592">
        <v>0</v>
      </c>
      <c r="O61" s="580">
        <v>0</v>
      </c>
      <c r="P61" s="580">
        <v>0</v>
      </c>
      <c r="Q61" s="580">
        <v>0</v>
      </c>
      <c r="R61" s="580">
        <v>0</v>
      </c>
      <c r="S61" s="580">
        <v>0</v>
      </c>
      <c r="T61" s="580">
        <v>0</v>
      </c>
      <c r="U61" s="580">
        <v>0</v>
      </c>
      <c r="V61" s="580">
        <v>0</v>
      </c>
      <c r="W61" s="580">
        <v>0</v>
      </c>
      <c r="X61" s="580">
        <v>0</v>
      </c>
      <c r="Y61" s="580">
        <v>0</v>
      </c>
      <c r="Z61" s="592">
        <v>0</v>
      </c>
      <c r="AA61" s="580">
        <v>101429.81999999299</v>
      </c>
      <c r="AB61" s="580">
        <v>86595</v>
      </c>
      <c r="AC61" s="580">
        <v>87868</v>
      </c>
      <c r="AD61" s="580">
        <v>56257</v>
      </c>
      <c r="AE61" s="580">
        <v>40588.310000009798</v>
      </c>
      <c r="AF61" s="580">
        <v>41687.490000017002</v>
      </c>
      <c r="AG61" s="580">
        <v>27177.019999995799</v>
      </c>
      <c r="AH61" s="580">
        <v>20131.4300000072</v>
      </c>
      <c r="AI61" s="580">
        <v>10772.4800000042</v>
      </c>
      <c r="AJ61" s="580">
        <v>11469.450000003</v>
      </c>
      <c r="AK61" s="580">
        <v>0</v>
      </c>
      <c r="AL61" s="592">
        <v>0</v>
      </c>
    </row>
    <row r="62" spans="1:38">
      <c r="A62" s="104" t="s">
        <v>81</v>
      </c>
      <c r="B62" t="s">
        <v>3</v>
      </c>
      <c r="C62" s="580">
        <v>1278480890.8696301</v>
      </c>
      <c r="D62" s="580">
        <v>1584736030</v>
      </c>
      <c r="E62" s="580">
        <v>1804121342</v>
      </c>
      <c r="F62" s="580">
        <v>2040327963</v>
      </c>
      <c r="G62" s="580">
        <v>2316029186.3702502</v>
      </c>
      <c r="H62" s="580">
        <v>2547985963.52072</v>
      </c>
      <c r="I62" s="580">
        <v>2835454232.7403102</v>
      </c>
      <c r="J62" s="580">
        <v>3202122071.6401701</v>
      </c>
      <c r="K62" s="580">
        <v>3615675837.5894699</v>
      </c>
      <c r="L62" s="580">
        <v>4009286274.52001</v>
      </c>
      <c r="M62" s="580">
        <v>4530017404.2895098</v>
      </c>
      <c r="N62" s="592">
        <v>5066639340.6587801</v>
      </c>
      <c r="O62" s="580">
        <v>342018870.72999698</v>
      </c>
      <c r="P62" s="580">
        <v>421615138</v>
      </c>
      <c r="Q62" s="580">
        <v>469287704</v>
      </c>
      <c r="R62" s="580">
        <v>554490998</v>
      </c>
      <c r="S62" s="580">
        <v>661053681.71000004</v>
      </c>
      <c r="T62" s="580">
        <v>737216132.69999194</v>
      </c>
      <c r="U62" s="580">
        <v>828887088.069996</v>
      </c>
      <c r="V62" s="580">
        <v>953509005.83998895</v>
      </c>
      <c r="W62" s="580">
        <v>1071577188.73</v>
      </c>
      <c r="X62" s="580">
        <v>1171420353.24999</v>
      </c>
      <c r="Y62" s="580">
        <v>1366993062.9300101</v>
      </c>
      <c r="Z62" s="592">
        <v>1524742055.50999</v>
      </c>
      <c r="AA62" s="580">
        <v>1620499761.5996301</v>
      </c>
      <c r="AB62" s="580">
        <v>2006351168</v>
      </c>
      <c r="AC62" s="580">
        <v>2273409046</v>
      </c>
      <c r="AD62" s="580">
        <v>2594818961</v>
      </c>
      <c r="AE62" s="580">
        <v>2977082868.0802498</v>
      </c>
      <c r="AF62" s="580">
        <v>3285202096.2207198</v>
      </c>
      <c r="AG62" s="580">
        <v>3664341320.8103099</v>
      </c>
      <c r="AH62" s="580">
        <v>4155631077.4801602</v>
      </c>
      <c r="AI62" s="580">
        <v>4687253026.3194704</v>
      </c>
      <c r="AJ62" s="580">
        <v>5180706627.7700005</v>
      </c>
      <c r="AK62" s="580">
        <v>5897010467.2195196</v>
      </c>
      <c r="AL62" s="592">
        <v>6591381396.1687698</v>
      </c>
    </row>
    <row r="63" spans="1:38">
      <c r="B63" t="s">
        <v>5</v>
      </c>
      <c r="C63" s="580">
        <v>13453291.030029301</v>
      </c>
      <c r="D63" s="580">
        <v>16133656</v>
      </c>
      <c r="E63" s="580">
        <v>18535017</v>
      </c>
      <c r="F63" s="580">
        <v>22826163</v>
      </c>
      <c r="G63" s="580">
        <v>29270636.5000135</v>
      </c>
      <c r="H63" s="580">
        <v>34188630.930024303</v>
      </c>
      <c r="I63" s="580">
        <v>39980791.390022002</v>
      </c>
      <c r="J63" s="580">
        <v>48256920.079973102</v>
      </c>
      <c r="K63" s="580">
        <v>55573466.660007402</v>
      </c>
      <c r="L63" s="580">
        <v>62136064.5</v>
      </c>
      <c r="M63" s="580">
        <v>77129240.930053696</v>
      </c>
      <c r="N63" s="592">
        <v>89048568.319946304</v>
      </c>
      <c r="O63" s="580">
        <v>1342353.84000015</v>
      </c>
      <c r="P63" s="580">
        <v>1804460</v>
      </c>
      <c r="Q63" s="580">
        <v>2205717</v>
      </c>
      <c r="R63" s="580">
        <v>2810249</v>
      </c>
      <c r="S63" s="580">
        <v>3667639.2199983601</v>
      </c>
      <c r="T63" s="580">
        <v>4407982.3699968597</v>
      </c>
      <c r="U63" s="580">
        <v>5239204.5499969404</v>
      </c>
      <c r="V63" s="580">
        <v>6477056.7599966396</v>
      </c>
      <c r="W63" s="580">
        <v>7722381.5000003995</v>
      </c>
      <c r="X63" s="580">
        <v>8874869.5099945106</v>
      </c>
      <c r="Y63" s="580">
        <v>10907587.080001799</v>
      </c>
      <c r="Z63" s="592">
        <v>12840758.6999969</v>
      </c>
      <c r="AA63" s="580">
        <v>14795644.870029399</v>
      </c>
      <c r="AB63" s="580">
        <v>17938116</v>
      </c>
      <c r="AC63" s="580">
        <v>20740734</v>
      </c>
      <c r="AD63" s="580">
        <v>25636412</v>
      </c>
      <c r="AE63" s="580">
        <v>32938275.720011901</v>
      </c>
      <c r="AF63" s="580">
        <v>38596613.300021201</v>
      </c>
      <c r="AG63" s="580">
        <v>45219995.9400189</v>
      </c>
      <c r="AH63" s="580">
        <v>54733976.839969702</v>
      </c>
      <c r="AI63" s="580">
        <v>63295848.160007797</v>
      </c>
      <c r="AJ63" s="580">
        <v>71010934.009994507</v>
      </c>
      <c r="AK63" s="580">
        <v>88036828.010055497</v>
      </c>
      <c r="AL63" s="592">
        <v>101889327.019943</v>
      </c>
    </row>
    <row r="64" spans="1:38">
      <c r="B64" t="s">
        <v>6</v>
      </c>
      <c r="C64" s="580">
        <v>396652400</v>
      </c>
      <c r="D64" s="580">
        <v>472453680</v>
      </c>
      <c r="E64" s="580">
        <v>517466300</v>
      </c>
      <c r="F64" s="580">
        <v>624232500</v>
      </c>
      <c r="G64" s="580">
        <v>757211000</v>
      </c>
      <c r="H64" s="580">
        <v>850370080</v>
      </c>
      <c r="I64" s="580">
        <v>949258550</v>
      </c>
      <c r="J64" s="580">
        <v>1095692520</v>
      </c>
      <c r="K64" s="580">
        <v>1201301430</v>
      </c>
      <c r="L64" s="580">
        <v>1283396520</v>
      </c>
      <c r="M64" s="580">
        <v>1546745438</v>
      </c>
      <c r="N64" s="592">
        <v>1700094492</v>
      </c>
      <c r="O64" s="580">
        <v>331094600</v>
      </c>
      <c r="P64" s="580">
        <v>407142960</v>
      </c>
      <c r="Q64" s="580">
        <v>453271520</v>
      </c>
      <c r="R64" s="580">
        <v>537921300</v>
      </c>
      <c r="S64" s="580">
        <v>643730150</v>
      </c>
      <c r="T64" s="580">
        <v>718936440</v>
      </c>
      <c r="U64" s="580">
        <v>808905550</v>
      </c>
      <c r="V64" s="580">
        <v>931557750</v>
      </c>
      <c r="W64" s="580">
        <v>1046205840</v>
      </c>
      <c r="X64" s="580">
        <v>1143184370</v>
      </c>
      <c r="Y64" s="580">
        <v>1337141390</v>
      </c>
      <c r="Z64" s="592">
        <v>1491189132</v>
      </c>
      <c r="AA64" s="580">
        <v>727747000</v>
      </c>
      <c r="AB64" s="580">
        <v>879596640</v>
      </c>
      <c r="AC64" s="580">
        <v>970737820</v>
      </c>
      <c r="AD64" s="580">
        <v>1162153800</v>
      </c>
      <c r="AE64" s="580">
        <v>1400941150</v>
      </c>
      <c r="AF64" s="580">
        <v>1569306520</v>
      </c>
      <c r="AG64" s="580">
        <v>1758164100</v>
      </c>
      <c r="AH64" s="580">
        <v>2027250270</v>
      </c>
      <c r="AI64" s="580">
        <v>2247507270</v>
      </c>
      <c r="AJ64" s="580">
        <v>2426580890</v>
      </c>
      <c r="AK64" s="580">
        <v>2883886828</v>
      </c>
      <c r="AL64" s="592">
        <v>3191283624</v>
      </c>
    </row>
    <row r="65" spans="1:38">
      <c r="B65" t="s">
        <v>7</v>
      </c>
      <c r="C65" s="580">
        <v>195440577.26001</v>
      </c>
      <c r="D65" s="580">
        <v>248359006</v>
      </c>
      <c r="E65" s="580">
        <v>287713616</v>
      </c>
      <c r="F65" s="580">
        <v>336350208</v>
      </c>
      <c r="G65" s="580">
        <v>411740465.079804</v>
      </c>
      <c r="H65" s="580">
        <v>463931256.19013602</v>
      </c>
      <c r="I65" s="580">
        <v>533971881.98023403</v>
      </c>
      <c r="J65" s="580">
        <v>627223705.24035203</v>
      </c>
      <c r="K65" s="580">
        <v>738143413.72988296</v>
      </c>
      <c r="L65" s="580">
        <v>831891679.07031298</v>
      </c>
      <c r="M65" s="580">
        <v>970900145.25</v>
      </c>
      <c r="N65" s="592">
        <v>1121434782.8691399</v>
      </c>
      <c r="O65" s="580">
        <v>5339372.0899963398</v>
      </c>
      <c r="P65" s="580">
        <v>7266654</v>
      </c>
      <c r="Q65" s="580">
        <v>7958075</v>
      </c>
      <c r="R65" s="580">
        <v>7883928</v>
      </c>
      <c r="S65" s="580">
        <v>8196726.6099996604</v>
      </c>
      <c r="T65" s="580">
        <v>8418011.7999964897</v>
      </c>
      <c r="U65" s="580">
        <v>9156898.1199979801</v>
      </c>
      <c r="V65" s="580">
        <v>9901377.9899930991</v>
      </c>
      <c r="W65" s="580">
        <v>11476579.5500031</v>
      </c>
      <c r="X65" s="580">
        <v>12661958.539993299</v>
      </c>
      <c r="Y65" s="580">
        <v>12611514.710006701</v>
      </c>
      <c r="Z65" s="592">
        <v>14208292.509994499</v>
      </c>
      <c r="AA65" s="580">
        <v>200779949.35000601</v>
      </c>
      <c r="AB65" s="580">
        <v>255625660</v>
      </c>
      <c r="AC65" s="580">
        <v>295671691</v>
      </c>
      <c r="AD65" s="580">
        <v>344234136</v>
      </c>
      <c r="AE65" s="580">
        <v>419937191.68980402</v>
      </c>
      <c r="AF65" s="580">
        <v>472349267.99013299</v>
      </c>
      <c r="AG65" s="580">
        <v>543128780.10023201</v>
      </c>
      <c r="AH65" s="580">
        <v>637125083.23034501</v>
      </c>
      <c r="AI65" s="580">
        <v>749619993.27988601</v>
      </c>
      <c r="AJ65" s="580">
        <v>844553637.61030602</v>
      </c>
      <c r="AK65" s="580">
        <v>983511659.96000695</v>
      </c>
      <c r="AL65" s="592">
        <v>1135643075.3791399</v>
      </c>
    </row>
    <row r="66" spans="1:38">
      <c r="B66" t="s">
        <v>8</v>
      </c>
      <c r="C66" s="580">
        <v>169591090.06982401</v>
      </c>
      <c r="D66" s="580">
        <v>211624904</v>
      </c>
      <c r="E66" s="580">
        <v>250286455</v>
      </c>
      <c r="F66" s="580">
        <v>289141551</v>
      </c>
      <c r="G66" s="580">
        <v>342207943.28021502</v>
      </c>
      <c r="H66" s="580">
        <v>386055153.00015599</v>
      </c>
      <c r="I66" s="580">
        <v>439844015.64023399</v>
      </c>
      <c r="J66" s="580">
        <v>509880491.84990299</v>
      </c>
      <c r="K66" s="580">
        <v>585571325.34952998</v>
      </c>
      <c r="L66" s="580">
        <v>660085693.30956995</v>
      </c>
      <c r="M66" s="580">
        <v>773597217.70996106</v>
      </c>
      <c r="N66" s="592">
        <v>888719095.21972704</v>
      </c>
      <c r="O66" s="580">
        <v>2105718</v>
      </c>
      <c r="P66" s="580">
        <v>2689958</v>
      </c>
      <c r="Q66" s="580">
        <v>2973529</v>
      </c>
      <c r="R66" s="580">
        <v>3096749</v>
      </c>
      <c r="S66" s="580">
        <v>3042736.7800011602</v>
      </c>
      <c r="T66" s="580">
        <v>3138368.5599985099</v>
      </c>
      <c r="U66" s="580">
        <v>3253468.55999994</v>
      </c>
      <c r="V66" s="580">
        <v>3321509.2599992799</v>
      </c>
      <c r="W66" s="580">
        <v>3612395.6099996599</v>
      </c>
      <c r="X66" s="580">
        <v>3920992.7700004601</v>
      </c>
      <c r="Y66" s="580">
        <v>3886342.2700004601</v>
      </c>
      <c r="Z66" s="592">
        <v>4027749.61999893</v>
      </c>
      <c r="AA66" s="580">
        <v>171696808.06982401</v>
      </c>
      <c r="AB66" s="580">
        <v>214314862</v>
      </c>
      <c r="AC66" s="580">
        <v>253259984</v>
      </c>
      <c r="AD66" s="580">
        <v>292238300</v>
      </c>
      <c r="AE66" s="580">
        <v>345250680.06021601</v>
      </c>
      <c r="AF66" s="580">
        <v>389193521.56015402</v>
      </c>
      <c r="AG66" s="580">
        <v>443097484.200234</v>
      </c>
      <c r="AH66" s="580">
        <v>513202001.10990202</v>
      </c>
      <c r="AI66" s="580">
        <v>589183720.95953</v>
      </c>
      <c r="AJ66" s="580">
        <v>664006686.07957101</v>
      </c>
      <c r="AK66" s="580">
        <v>777483559.97996104</v>
      </c>
      <c r="AL66" s="592">
        <v>892746844.83972502</v>
      </c>
    </row>
    <row r="67" spans="1:38">
      <c r="B67" t="s">
        <v>9</v>
      </c>
      <c r="C67" s="580">
        <v>142987005.679932</v>
      </c>
      <c r="D67" s="580">
        <v>180855213</v>
      </c>
      <c r="E67" s="580">
        <v>213541163</v>
      </c>
      <c r="F67" s="580">
        <v>242629121</v>
      </c>
      <c r="G67" s="580">
        <v>284811698.180098</v>
      </c>
      <c r="H67" s="580">
        <v>318540407.72015703</v>
      </c>
      <c r="I67" s="580">
        <v>357660593.74998099</v>
      </c>
      <c r="J67" s="580">
        <v>410240696.74003899</v>
      </c>
      <c r="K67" s="580">
        <v>471241971.27017498</v>
      </c>
      <c r="L67" s="580">
        <v>534097593.5</v>
      </c>
      <c r="M67" s="580">
        <v>583259242.38964796</v>
      </c>
      <c r="N67" s="592">
        <v>660505242.67968798</v>
      </c>
      <c r="O67" s="580">
        <v>1057754.5300006899</v>
      </c>
      <c r="P67" s="580">
        <v>1352949</v>
      </c>
      <c r="Q67" s="580">
        <v>1440751</v>
      </c>
      <c r="R67" s="580">
        <v>1472238</v>
      </c>
      <c r="S67" s="580">
        <v>1330489.7800006899</v>
      </c>
      <c r="T67" s="580">
        <v>1282527.3700000001</v>
      </c>
      <c r="U67" s="580">
        <v>1310836.6400009401</v>
      </c>
      <c r="V67" s="580">
        <v>1263544.67999947</v>
      </c>
      <c r="W67" s="580">
        <v>1450637.18000042</v>
      </c>
      <c r="X67" s="580">
        <v>1558812.2000007599</v>
      </c>
      <c r="Y67" s="580">
        <v>1631976.7199993101</v>
      </c>
      <c r="Z67" s="592">
        <v>1698801.3700008399</v>
      </c>
      <c r="AA67" s="580">
        <v>144044760.209932</v>
      </c>
      <c r="AB67" s="580">
        <v>182208162</v>
      </c>
      <c r="AC67" s="580">
        <v>214981914</v>
      </c>
      <c r="AD67" s="580">
        <v>244101359</v>
      </c>
      <c r="AE67" s="580">
        <v>286142187.96009898</v>
      </c>
      <c r="AF67" s="580">
        <v>319822935.09015697</v>
      </c>
      <c r="AG67" s="580">
        <v>358971430.38998199</v>
      </c>
      <c r="AH67" s="580">
        <v>411504241.42003798</v>
      </c>
      <c r="AI67" s="580">
        <v>472692608.450176</v>
      </c>
      <c r="AJ67" s="580">
        <v>535656405.700001</v>
      </c>
      <c r="AK67" s="580">
        <v>584891219.10964799</v>
      </c>
      <c r="AL67" s="592">
        <v>662204044.04968798</v>
      </c>
    </row>
    <row r="68" spans="1:38">
      <c r="B68" t="s">
        <v>10</v>
      </c>
      <c r="C68" s="580">
        <v>123333057.579956</v>
      </c>
      <c r="D68" s="580">
        <v>152208471</v>
      </c>
      <c r="E68" s="580">
        <v>176280884</v>
      </c>
      <c r="F68" s="580">
        <v>199530113</v>
      </c>
      <c r="G68" s="580">
        <v>215847680.09000999</v>
      </c>
      <c r="H68" s="580">
        <v>242713450.60011801</v>
      </c>
      <c r="I68" s="580">
        <v>271680109.49994099</v>
      </c>
      <c r="J68" s="580">
        <v>340390051.799941</v>
      </c>
      <c r="K68" s="580">
        <v>377867952.35988301</v>
      </c>
      <c r="L68" s="580">
        <v>408829337.02002001</v>
      </c>
      <c r="M68" s="580">
        <v>405276849.10986298</v>
      </c>
      <c r="N68" s="592">
        <v>432262249.49023402</v>
      </c>
      <c r="O68" s="580">
        <v>525678.479999542</v>
      </c>
      <c r="P68" s="580">
        <v>657088</v>
      </c>
      <c r="Q68" s="580">
        <v>710080</v>
      </c>
      <c r="R68" s="580">
        <v>670372</v>
      </c>
      <c r="S68" s="580">
        <v>621342.97999969102</v>
      </c>
      <c r="T68" s="580">
        <v>683197.61000010394</v>
      </c>
      <c r="U68" s="580">
        <v>705815.40999972797</v>
      </c>
      <c r="V68" s="580">
        <v>841646.65000027395</v>
      </c>
      <c r="W68" s="580">
        <v>964683.69000031101</v>
      </c>
      <c r="X68" s="580">
        <v>1038122.90999985</v>
      </c>
      <c r="Y68" s="580">
        <v>702619.69999980903</v>
      </c>
      <c r="Z68" s="592">
        <v>678121.05000019097</v>
      </c>
      <c r="AA68" s="580">
        <v>123858736.059956</v>
      </c>
      <c r="AB68" s="580">
        <v>152865559</v>
      </c>
      <c r="AC68" s="580">
        <v>176990964</v>
      </c>
      <c r="AD68" s="580">
        <v>200200485</v>
      </c>
      <c r="AE68" s="580">
        <v>216469023.07001001</v>
      </c>
      <c r="AF68" s="580">
        <v>243396648.210118</v>
      </c>
      <c r="AG68" s="580">
        <v>272385924.90994102</v>
      </c>
      <c r="AH68" s="580">
        <v>341231698.44994098</v>
      </c>
      <c r="AI68" s="580">
        <v>378832636.04988301</v>
      </c>
      <c r="AJ68" s="580">
        <v>409867459.93001902</v>
      </c>
      <c r="AK68" s="580">
        <v>405979468.80986297</v>
      </c>
      <c r="AL68" s="592">
        <v>432940370.54023498</v>
      </c>
    </row>
    <row r="69" spans="1:38">
      <c r="B69" t="s">
        <v>11</v>
      </c>
      <c r="C69" s="580">
        <v>94503138.909912094</v>
      </c>
      <c r="D69" s="580">
        <v>121736513</v>
      </c>
      <c r="E69" s="580">
        <v>136757907</v>
      </c>
      <c r="F69" s="580">
        <v>159697047</v>
      </c>
      <c r="G69" s="580">
        <v>183475419.16010699</v>
      </c>
      <c r="H69" s="580">
        <v>185937031.47011799</v>
      </c>
      <c r="I69" s="580">
        <v>175680345.20989299</v>
      </c>
      <c r="J69" s="580">
        <v>116213911.829961</v>
      </c>
      <c r="K69" s="580">
        <v>133525638.92000499</v>
      </c>
      <c r="L69" s="580">
        <v>169240454.860107</v>
      </c>
      <c r="M69" s="580">
        <v>131275436.619995</v>
      </c>
      <c r="N69" s="592">
        <v>136497175.280029</v>
      </c>
      <c r="O69" s="580">
        <v>283359.829999924</v>
      </c>
      <c r="P69" s="580">
        <v>359177</v>
      </c>
      <c r="Q69" s="580">
        <v>377423</v>
      </c>
      <c r="R69" s="580">
        <v>432308</v>
      </c>
      <c r="S69" s="580">
        <v>388265.26000011002</v>
      </c>
      <c r="T69" s="580">
        <v>302502.57999998302</v>
      </c>
      <c r="U69" s="580">
        <v>254495.54000000699</v>
      </c>
      <c r="V69" s="580">
        <v>108355.499999981</v>
      </c>
      <c r="W69" s="580">
        <v>106928.620000005</v>
      </c>
      <c r="X69" s="580">
        <v>140894.15000009499</v>
      </c>
      <c r="Y69" s="580">
        <v>82654.570000052496</v>
      </c>
      <c r="Z69" s="592">
        <v>76165.480000019103</v>
      </c>
      <c r="AA69" s="580">
        <v>94786498.739912003</v>
      </c>
      <c r="AB69" s="580">
        <v>122095690</v>
      </c>
      <c r="AC69" s="580">
        <v>137135330</v>
      </c>
      <c r="AD69" s="580">
        <v>160129355</v>
      </c>
      <c r="AE69" s="580">
        <v>183863684.42010701</v>
      </c>
      <c r="AF69" s="580">
        <v>186239534.050118</v>
      </c>
      <c r="AG69" s="580">
        <v>175934840.74989301</v>
      </c>
      <c r="AH69" s="580">
        <v>116322267.329961</v>
      </c>
      <c r="AI69" s="580">
        <v>133632567.540005</v>
      </c>
      <c r="AJ69" s="580">
        <v>169381349.01010799</v>
      </c>
      <c r="AK69" s="580">
        <v>131358091.18999501</v>
      </c>
      <c r="AL69" s="592">
        <v>136573340.76002899</v>
      </c>
    </row>
    <row r="70" spans="1:38">
      <c r="B70" t="s">
        <v>12</v>
      </c>
      <c r="C70" s="580">
        <v>74624959.949951202</v>
      </c>
      <c r="D70" s="580">
        <v>94140427</v>
      </c>
      <c r="E70" s="580">
        <v>125174073</v>
      </c>
      <c r="F70" s="580">
        <v>118167298</v>
      </c>
      <c r="G70" s="580">
        <v>61022743.360002398</v>
      </c>
      <c r="H70" s="580">
        <v>39022706.490019903</v>
      </c>
      <c r="I70" s="580">
        <v>40988017.640014999</v>
      </c>
      <c r="J70" s="580">
        <v>33907164.139999397</v>
      </c>
      <c r="K70" s="580">
        <v>32652214.129987601</v>
      </c>
      <c r="L70" s="580">
        <v>38528569.679992698</v>
      </c>
      <c r="M70" s="580">
        <v>21832518.429992702</v>
      </c>
      <c r="N70" s="592">
        <v>17237000.820007298</v>
      </c>
      <c r="O70" s="580">
        <v>180892.56999993301</v>
      </c>
      <c r="P70" s="580">
        <v>241376</v>
      </c>
      <c r="Q70" s="580">
        <v>289444</v>
      </c>
      <c r="R70" s="580">
        <v>164804</v>
      </c>
      <c r="S70" s="580">
        <v>58999.920000001803</v>
      </c>
      <c r="T70" s="580">
        <v>32470.679999999698</v>
      </c>
      <c r="U70" s="580">
        <v>45067.370000015901</v>
      </c>
      <c r="V70" s="580">
        <v>30551.970000009998</v>
      </c>
      <c r="W70" s="580">
        <v>30024.719999987599</v>
      </c>
      <c r="X70" s="580">
        <v>31994.870000004801</v>
      </c>
      <c r="Y70" s="580">
        <v>20016.400000006</v>
      </c>
      <c r="Z70" s="592">
        <v>18153.9300000072</v>
      </c>
      <c r="AA70" s="580">
        <v>74805852.519951105</v>
      </c>
      <c r="AB70" s="580">
        <v>94381803</v>
      </c>
      <c r="AC70" s="580">
        <v>125463517</v>
      </c>
      <c r="AD70" s="580">
        <v>118332102</v>
      </c>
      <c r="AE70" s="580">
        <v>61081743.2800024</v>
      </c>
      <c r="AF70" s="580">
        <v>39055177.170019902</v>
      </c>
      <c r="AG70" s="580">
        <v>41033085.010015003</v>
      </c>
      <c r="AH70" s="580">
        <v>33937716.109999403</v>
      </c>
      <c r="AI70" s="580">
        <v>32682238.8499876</v>
      </c>
      <c r="AJ70" s="580">
        <v>38560564.549992703</v>
      </c>
      <c r="AK70" s="580">
        <v>21852534.8299927</v>
      </c>
      <c r="AL70" s="592">
        <v>17255154.750007302</v>
      </c>
    </row>
    <row r="71" spans="1:38">
      <c r="B71" t="s">
        <v>13</v>
      </c>
      <c r="C71" s="580">
        <v>43329746.190002397</v>
      </c>
      <c r="D71" s="580">
        <v>59008096</v>
      </c>
      <c r="E71" s="580">
        <v>43768072</v>
      </c>
      <c r="F71" s="580">
        <v>22167931</v>
      </c>
      <c r="G71" s="580">
        <v>11572332.8600024</v>
      </c>
      <c r="H71" s="580">
        <v>9462191.7899983805</v>
      </c>
      <c r="I71" s="580">
        <v>9409256.0499964505</v>
      </c>
      <c r="J71" s="580">
        <v>4056665.0499992399</v>
      </c>
      <c r="K71" s="580">
        <v>3623778.6199984602</v>
      </c>
      <c r="L71" s="580">
        <v>3702855.5800018301</v>
      </c>
      <c r="M71" s="580">
        <v>3252519.1500015301</v>
      </c>
      <c r="N71" s="592">
        <v>3341795.5800018301</v>
      </c>
      <c r="O71" s="580">
        <v>68854.789999961897</v>
      </c>
      <c r="P71" s="580">
        <v>82296</v>
      </c>
      <c r="Q71" s="580">
        <v>40328</v>
      </c>
      <c r="R71" s="580">
        <v>22644</v>
      </c>
      <c r="S71" s="580">
        <v>8073.9500000029802</v>
      </c>
      <c r="T71" s="580">
        <v>11348.7099999934</v>
      </c>
      <c r="U71" s="580">
        <v>12304.7099999934</v>
      </c>
      <c r="V71" s="580">
        <v>7213.0300000011903</v>
      </c>
      <c r="W71" s="580">
        <v>7717.8599999994003</v>
      </c>
      <c r="X71" s="580">
        <v>8338.2999999970198</v>
      </c>
      <c r="Y71" s="580">
        <v>8961.4800000041705</v>
      </c>
      <c r="Z71" s="592">
        <v>4880.8500000014901</v>
      </c>
      <c r="AA71" s="580">
        <v>43398600.980002403</v>
      </c>
      <c r="AB71" s="580">
        <v>59090392</v>
      </c>
      <c r="AC71" s="580">
        <v>43808400</v>
      </c>
      <c r="AD71" s="580">
        <v>22190575</v>
      </c>
      <c r="AE71" s="580">
        <v>11580406.8100024</v>
      </c>
      <c r="AF71" s="580">
        <v>9473540.4999983702</v>
      </c>
      <c r="AG71" s="580">
        <v>9421560.7599964403</v>
      </c>
      <c r="AH71" s="580">
        <v>4063878.0799992401</v>
      </c>
      <c r="AI71" s="580">
        <v>3631496.4799984498</v>
      </c>
      <c r="AJ71" s="580">
        <v>3711193.8800018299</v>
      </c>
      <c r="AK71" s="580">
        <v>3261480.6300015301</v>
      </c>
      <c r="AL71" s="592">
        <v>3346676.4300018302</v>
      </c>
    </row>
    <row r="72" spans="1:38">
      <c r="B72" t="s">
        <v>14</v>
      </c>
      <c r="C72" s="580">
        <v>6300562.23999786</v>
      </c>
      <c r="D72" s="580">
        <v>7631185</v>
      </c>
      <c r="E72" s="580">
        <v>11967114</v>
      </c>
      <c r="F72" s="580">
        <v>6720682</v>
      </c>
      <c r="G72" s="580">
        <v>3862707.3800002099</v>
      </c>
      <c r="H72" s="580">
        <v>3212732.9099993701</v>
      </c>
      <c r="I72" s="580">
        <v>2789842.0699996902</v>
      </c>
      <c r="J72" s="580">
        <v>2539820.02999997</v>
      </c>
      <c r="K72" s="580">
        <v>2335744.1900002998</v>
      </c>
      <c r="L72" s="580">
        <v>2415523.9300003098</v>
      </c>
      <c r="M72" s="580">
        <v>2215955.1100006099</v>
      </c>
      <c r="N72" s="592">
        <v>2337965.0099983201</v>
      </c>
      <c r="O72" s="580">
        <v>8513.2800000011903</v>
      </c>
      <c r="P72" s="580">
        <v>10081</v>
      </c>
      <c r="Q72" s="580">
        <v>15057</v>
      </c>
      <c r="R72" s="580">
        <v>10259</v>
      </c>
      <c r="S72" s="580">
        <v>2801.8099999986598</v>
      </c>
      <c r="T72" s="580">
        <v>3283.0199999995498</v>
      </c>
      <c r="U72" s="580">
        <v>3447.17000000179</v>
      </c>
      <c r="V72" s="580">
        <v>0</v>
      </c>
      <c r="W72" s="580">
        <v>0</v>
      </c>
      <c r="X72" s="580">
        <v>0</v>
      </c>
      <c r="Y72" s="580">
        <v>0</v>
      </c>
      <c r="Z72" s="592">
        <v>0</v>
      </c>
      <c r="AA72" s="580">
        <v>6309075.5199978603</v>
      </c>
      <c r="AB72" s="580">
        <v>7641266</v>
      </c>
      <c r="AC72" s="580">
        <v>11982171</v>
      </c>
      <c r="AD72" s="580">
        <v>6730941</v>
      </c>
      <c r="AE72" s="580">
        <v>3865509.19000021</v>
      </c>
      <c r="AF72" s="580">
        <v>3216015.9299993701</v>
      </c>
      <c r="AG72" s="580">
        <v>2793289.2399996999</v>
      </c>
      <c r="AH72" s="580">
        <v>2539820.02999997</v>
      </c>
      <c r="AI72" s="580">
        <v>2335744.1900002998</v>
      </c>
      <c r="AJ72" s="580">
        <v>2415523.9300003098</v>
      </c>
      <c r="AK72" s="580">
        <v>2215955.1100006099</v>
      </c>
      <c r="AL72" s="592">
        <v>2337965.0099983201</v>
      </c>
    </row>
    <row r="73" spans="1:38">
      <c r="B73" t="s">
        <v>15</v>
      </c>
      <c r="C73" s="580">
        <v>3553855.6599998502</v>
      </c>
      <c r="D73" s="580">
        <v>4426591</v>
      </c>
      <c r="E73" s="580">
        <v>4403427</v>
      </c>
      <c r="F73" s="580">
        <v>3118016</v>
      </c>
      <c r="G73" s="580">
        <v>2311805.3000001898</v>
      </c>
      <c r="H73" s="580">
        <v>2156889.4599993201</v>
      </c>
      <c r="I73" s="580">
        <v>2009312.0299992601</v>
      </c>
      <c r="J73" s="580">
        <v>1677945.0299997299</v>
      </c>
      <c r="K73" s="580">
        <v>1639960.6899997001</v>
      </c>
      <c r="L73" s="580">
        <v>1728852.2700004601</v>
      </c>
      <c r="M73" s="580">
        <v>1676743.5300006899</v>
      </c>
      <c r="N73" s="592">
        <v>1771825.15999985</v>
      </c>
      <c r="O73" s="580">
        <v>0</v>
      </c>
      <c r="P73" s="580">
        <v>0</v>
      </c>
      <c r="Q73" s="580">
        <v>0</v>
      </c>
      <c r="R73" s="580">
        <v>0</v>
      </c>
      <c r="S73" s="580">
        <v>6455.3999999985099</v>
      </c>
      <c r="T73" s="580">
        <v>0</v>
      </c>
      <c r="U73" s="580">
        <v>0</v>
      </c>
      <c r="V73" s="580">
        <v>0</v>
      </c>
      <c r="W73" s="580">
        <v>0</v>
      </c>
      <c r="X73" s="580">
        <v>0</v>
      </c>
      <c r="Y73" s="580">
        <v>0</v>
      </c>
      <c r="Z73" s="592">
        <v>0</v>
      </c>
      <c r="AA73" s="580">
        <v>3553855.6599998502</v>
      </c>
      <c r="AB73" s="580">
        <v>4426591</v>
      </c>
      <c r="AC73" s="580">
        <v>4403427</v>
      </c>
      <c r="AD73" s="580">
        <v>3118016</v>
      </c>
      <c r="AE73" s="580">
        <v>2318260.7000001902</v>
      </c>
      <c r="AF73" s="580">
        <v>2156889.4599993201</v>
      </c>
      <c r="AG73" s="580">
        <v>2009312.0299992601</v>
      </c>
      <c r="AH73" s="580">
        <v>1677945.0299997299</v>
      </c>
      <c r="AI73" s="580">
        <v>1639960.6899997001</v>
      </c>
      <c r="AJ73" s="580">
        <v>1728852.2700004601</v>
      </c>
      <c r="AK73" s="580">
        <v>1676743.5300006899</v>
      </c>
      <c r="AL73" s="592">
        <v>1771825.15999985</v>
      </c>
    </row>
    <row r="74" spans="1:38">
      <c r="B74" t="s">
        <v>16</v>
      </c>
      <c r="C74" s="580">
        <v>9658388.6400146503</v>
      </c>
      <c r="D74" s="580">
        <v>10803071</v>
      </c>
      <c r="E74" s="580">
        <v>12456638</v>
      </c>
      <c r="F74" s="580">
        <v>9882814</v>
      </c>
      <c r="G74" s="580">
        <v>8500998.6599993892</v>
      </c>
      <c r="H74" s="580">
        <v>8306594.8899999</v>
      </c>
      <c r="I74" s="580">
        <v>8355570.9099993603</v>
      </c>
      <c r="J74" s="580">
        <v>8413147.0799993705</v>
      </c>
      <c r="K74" s="580">
        <v>8695137.5999993104</v>
      </c>
      <c r="L74" s="580">
        <v>9496345.0500030499</v>
      </c>
      <c r="M74" s="580">
        <v>9338411.6199951209</v>
      </c>
      <c r="N74" s="592">
        <v>9839907.3500060998</v>
      </c>
      <c r="O74" s="580">
        <v>11773.3199999928</v>
      </c>
      <c r="P74" s="580">
        <v>8139</v>
      </c>
      <c r="Q74" s="580">
        <v>5780</v>
      </c>
      <c r="R74" s="580">
        <v>6147</v>
      </c>
      <c r="S74" s="580">
        <v>0</v>
      </c>
      <c r="T74" s="580">
        <v>0</v>
      </c>
      <c r="U74" s="580">
        <v>0</v>
      </c>
      <c r="V74" s="580">
        <v>0</v>
      </c>
      <c r="W74" s="580">
        <v>0</v>
      </c>
      <c r="X74" s="580">
        <v>0</v>
      </c>
      <c r="Y74" s="580">
        <v>0</v>
      </c>
      <c r="Z74" s="592">
        <v>0</v>
      </c>
      <c r="AA74" s="580">
        <v>9670161.9600146394</v>
      </c>
      <c r="AB74" s="580">
        <v>10811210</v>
      </c>
      <c r="AC74" s="580">
        <v>12462418</v>
      </c>
      <c r="AD74" s="580">
        <v>9888961</v>
      </c>
      <c r="AE74" s="580">
        <v>8500998.6599993892</v>
      </c>
      <c r="AF74" s="580">
        <v>8306594.8899999</v>
      </c>
      <c r="AG74" s="580">
        <v>8355570.9099993603</v>
      </c>
      <c r="AH74" s="580">
        <v>8413147.0799993705</v>
      </c>
      <c r="AI74" s="580">
        <v>8695137.5999993104</v>
      </c>
      <c r="AJ74" s="580">
        <v>9496345.0500030499</v>
      </c>
      <c r="AK74" s="580">
        <v>9338411.6199951209</v>
      </c>
      <c r="AL74" s="592">
        <v>9839907.3500060998</v>
      </c>
    </row>
    <row r="75" spans="1:38">
      <c r="B75" t="s">
        <v>17</v>
      </c>
      <c r="C75" s="580">
        <v>4235876.7900009202</v>
      </c>
      <c r="D75" s="580">
        <v>3844182</v>
      </c>
      <c r="E75" s="580">
        <v>4180037</v>
      </c>
      <c r="F75" s="580">
        <v>4021643</v>
      </c>
      <c r="G75" s="580">
        <v>2923480.39000049</v>
      </c>
      <c r="H75" s="580">
        <v>3015019.5099995998</v>
      </c>
      <c r="I75" s="580">
        <v>2711274.2799999099</v>
      </c>
      <c r="J75" s="580">
        <v>2705115.19000027</v>
      </c>
      <c r="K75" s="580">
        <v>2698680.4199993899</v>
      </c>
      <c r="L75" s="580">
        <v>3651506.1699981699</v>
      </c>
      <c r="M75" s="580">
        <v>3427221.86999893</v>
      </c>
      <c r="N75" s="592">
        <v>3453167.5200004601</v>
      </c>
      <c r="O75" s="580">
        <v>0</v>
      </c>
      <c r="P75" s="580">
        <v>0</v>
      </c>
      <c r="Q75" s="580">
        <v>0</v>
      </c>
      <c r="R75" s="580">
        <v>0</v>
      </c>
      <c r="S75" s="580">
        <v>0</v>
      </c>
      <c r="T75" s="580">
        <v>0</v>
      </c>
      <c r="U75" s="580">
        <v>0</v>
      </c>
      <c r="V75" s="580">
        <v>0</v>
      </c>
      <c r="W75" s="580">
        <v>0</v>
      </c>
      <c r="X75" s="580">
        <v>0</v>
      </c>
      <c r="Y75" s="580">
        <v>0</v>
      </c>
      <c r="Z75" s="592">
        <v>0</v>
      </c>
      <c r="AA75" s="580">
        <v>4235876.7900009202</v>
      </c>
      <c r="AB75" s="580">
        <v>3844182</v>
      </c>
      <c r="AC75" s="580">
        <v>4180037</v>
      </c>
      <c r="AD75" s="580">
        <v>4021643</v>
      </c>
      <c r="AE75" s="580">
        <v>2923480.39000049</v>
      </c>
      <c r="AF75" s="580">
        <v>3015019.5099995998</v>
      </c>
      <c r="AG75" s="580">
        <v>2711274.2799999099</v>
      </c>
      <c r="AH75" s="580">
        <v>2705115.19000027</v>
      </c>
      <c r="AI75" s="580">
        <v>2698680.4199993899</v>
      </c>
      <c r="AJ75" s="580">
        <v>3651506.1699981699</v>
      </c>
      <c r="AK75" s="580">
        <v>3427221.86999893</v>
      </c>
      <c r="AL75" s="592">
        <v>3453167.5200004601</v>
      </c>
    </row>
    <row r="76" spans="1:38">
      <c r="B76" t="s">
        <v>18</v>
      </c>
      <c r="C76" s="580">
        <v>816940.86999988602</v>
      </c>
      <c r="D76" s="580">
        <v>1511035</v>
      </c>
      <c r="E76" s="580">
        <v>1590639</v>
      </c>
      <c r="F76" s="580">
        <v>1842876</v>
      </c>
      <c r="G76" s="580">
        <v>1270276.1300001701</v>
      </c>
      <c r="H76" s="580">
        <v>1073818.55999991</v>
      </c>
      <c r="I76" s="580">
        <v>1114672.28999975</v>
      </c>
      <c r="J76" s="580">
        <v>923917.57999995397</v>
      </c>
      <c r="K76" s="580">
        <v>805123.65000021504</v>
      </c>
      <c r="L76" s="580">
        <v>85279.580000042901</v>
      </c>
      <c r="M76" s="580">
        <v>90464.570000052496</v>
      </c>
      <c r="N76" s="592">
        <v>96073.360000014305</v>
      </c>
      <c r="O76" s="580">
        <v>0</v>
      </c>
      <c r="P76" s="580">
        <v>0</v>
      </c>
      <c r="Q76" s="580">
        <v>0</v>
      </c>
      <c r="R76" s="580">
        <v>0</v>
      </c>
      <c r="S76" s="580">
        <v>0</v>
      </c>
      <c r="T76" s="580">
        <v>0</v>
      </c>
      <c r="U76" s="580">
        <v>0</v>
      </c>
      <c r="V76" s="580">
        <v>0</v>
      </c>
      <c r="W76" s="580">
        <v>0</v>
      </c>
      <c r="X76" s="580">
        <v>0</v>
      </c>
      <c r="Y76" s="580">
        <v>0</v>
      </c>
      <c r="Z76" s="592">
        <v>0</v>
      </c>
      <c r="AA76" s="580">
        <v>816940.86999988602</v>
      </c>
      <c r="AB76" s="580">
        <v>1511035</v>
      </c>
      <c r="AC76" s="580">
        <v>1590639</v>
      </c>
      <c r="AD76" s="580">
        <v>1842876</v>
      </c>
      <c r="AE76" s="580">
        <v>1270276.1300001701</v>
      </c>
      <c r="AF76" s="580">
        <v>1073818.55999991</v>
      </c>
      <c r="AG76" s="580">
        <v>1114672.28999975</v>
      </c>
      <c r="AH76" s="580">
        <v>923917.57999995397</v>
      </c>
      <c r="AI76" s="580">
        <v>805123.65000021504</v>
      </c>
      <c r="AJ76" s="580">
        <v>85279.580000042901</v>
      </c>
      <c r="AK76" s="580">
        <v>90464.570000052496</v>
      </c>
      <c r="AL76" s="592">
        <v>96073.360000014305</v>
      </c>
    </row>
    <row r="77" spans="1:38">
      <c r="A77" s="104" t="s">
        <v>83</v>
      </c>
      <c r="B77" t="s">
        <v>3</v>
      </c>
      <c r="C77" s="580">
        <v>355714644.05989099</v>
      </c>
      <c r="D77" s="580">
        <v>564775817</v>
      </c>
      <c r="E77" s="580">
        <v>770553438</v>
      </c>
      <c r="F77" s="580">
        <v>907097475</v>
      </c>
      <c r="G77" s="580">
        <v>967222613.59022605</v>
      </c>
      <c r="H77" s="580">
        <v>850967324.00003099</v>
      </c>
      <c r="I77" s="580">
        <v>815112965.25007904</v>
      </c>
      <c r="J77" s="580">
        <v>802025905.04005599</v>
      </c>
      <c r="K77" s="580">
        <v>968743756.99993896</v>
      </c>
      <c r="L77" s="580">
        <v>1042481639.2102</v>
      </c>
      <c r="M77" s="580">
        <v>1160387169.2200401</v>
      </c>
      <c r="N77" s="592">
        <v>1355078002.53001</v>
      </c>
      <c r="O77" s="580">
        <v>25471801.9399991</v>
      </c>
      <c r="P77" s="580">
        <v>35407011</v>
      </c>
      <c r="Q77" s="580">
        <v>42769543</v>
      </c>
      <c r="R77" s="580">
        <v>47405113</v>
      </c>
      <c r="S77" s="580">
        <v>48315835.580000304</v>
      </c>
      <c r="T77" s="580">
        <v>47244331.700000003</v>
      </c>
      <c r="U77" s="580">
        <v>49664652.549999803</v>
      </c>
      <c r="V77" s="580">
        <v>55606973.019999899</v>
      </c>
      <c r="W77" s="580">
        <v>70235483.530000001</v>
      </c>
      <c r="X77" s="580">
        <v>78219288.129999906</v>
      </c>
      <c r="Y77" s="580">
        <v>97597821.510000095</v>
      </c>
      <c r="Z77" s="592">
        <v>119676101.67</v>
      </c>
      <c r="AA77" s="580">
        <v>381186445.99989003</v>
      </c>
      <c r="AB77" s="580">
        <v>600182828</v>
      </c>
      <c r="AC77" s="580">
        <v>813322981</v>
      </c>
      <c r="AD77" s="580">
        <v>954502588</v>
      </c>
      <c r="AE77" s="580">
        <v>1015538449.17023</v>
      </c>
      <c r="AF77" s="580">
        <v>898211655.70003104</v>
      </c>
      <c r="AG77" s="580">
        <v>864777617.80007899</v>
      </c>
      <c r="AH77" s="580">
        <v>857632878.06005597</v>
      </c>
      <c r="AI77" s="580">
        <v>1038979240.52994</v>
      </c>
      <c r="AJ77" s="580">
        <v>1120700927.3401999</v>
      </c>
      <c r="AK77" s="580">
        <v>1257984990.7300401</v>
      </c>
      <c r="AL77" s="592">
        <v>1474754104.2000101</v>
      </c>
    </row>
    <row r="78" spans="1:38">
      <c r="B78" t="s">
        <v>5</v>
      </c>
      <c r="C78" s="580">
        <v>205300.85999989501</v>
      </c>
      <c r="D78" s="580">
        <v>332813</v>
      </c>
      <c r="E78" s="580">
        <v>489520</v>
      </c>
      <c r="F78" s="580">
        <v>780035</v>
      </c>
      <c r="G78" s="580">
        <v>983530.75</v>
      </c>
      <c r="H78" s="580">
        <v>1195561.3199996899</v>
      </c>
      <c r="I78" s="580">
        <v>1152153.1499996199</v>
      </c>
      <c r="J78" s="580">
        <v>1289458.3099994699</v>
      </c>
      <c r="K78" s="580">
        <v>1492830.54000092</v>
      </c>
      <c r="L78" s="580">
        <v>1587908.42000008</v>
      </c>
      <c r="M78" s="580">
        <v>1782098.29000092</v>
      </c>
      <c r="N78" s="592">
        <v>1938878.5</v>
      </c>
      <c r="O78" s="580">
        <v>5509.4900000020898</v>
      </c>
      <c r="P78" s="580">
        <v>7387</v>
      </c>
      <c r="Q78" s="580">
        <v>7750</v>
      </c>
      <c r="R78" s="580">
        <v>9792</v>
      </c>
      <c r="S78" s="580">
        <v>10377.439999997599</v>
      </c>
      <c r="T78" s="580">
        <v>13196.629999995201</v>
      </c>
      <c r="U78" s="580">
        <v>8932.5499999970198</v>
      </c>
      <c r="V78" s="580">
        <v>11215.219999998801</v>
      </c>
      <c r="W78" s="580">
        <v>13061.510000005401</v>
      </c>
      <c r="X78" s="580">
        <v>15110.0699999928</v>
      </c>
      <c r="Y78" s="580">
        <v>21460.699999988101</v>
      </c>
      <c r="Z78" s="592">
        <v>23229.620000004801</v>
      </c>
      <c r="AA78" s="580">
        <v>210810.34999989701</v>
      </c>
      <c r="AB78" s="580">
        <v>340200</v>
      </c>
      <c r="AC78" s="580">
        <v>497270</v>
      </c>
      <c r="AD78" s="580">
        <v>789827</v>
      </c>
      <c r="AE78" s="580">
        <v>993908.18999999797</v>
      </c>
      <c r="AF78" s="580">
        <v>1208757.9499996901</v>
      </c>
      <c r="AG78" s="580">
        <v>1161085.69999962</v>
      </c>
      <c r="AH78" s="580">
        <v>1300673.5299994601</v>
      </c>
      <c r="AI78" s="580">
        <v>1505892.05000092</v>
      </c>
      <c r="AJ78" s="580">
        <v>1603018.4900000701</v>
      </c>
      <c r="AK78" s="580">
        <v>1803558.9900009001</v>
      </c>
      <c r="AL78" s="592">
        <v>1962108.12</v>
      </c>
    </row>
    <row r="79" spans="1:38">
      <c r="B79" t="s">
        <v>6</v>
      </c>
      <c r="C79" s="580">
        <v>33654200</v>
      </c>
      <c r="D79" s="580">
        <v>45276720</v>
      </c>
      <c r="E79" s="580">
        <v>71196320</v>
      </c>
      <c r="F79" s="580">
        <v>95695500</v>
      </c>
      <c r="G79" s="580">
        <v>124601750</v>
      </c>
      <c r="H79" s="580">
        <v>120590720</v>
      </c>
      <c r="I79" s="580">
        <v>125487700</v>
      </c>
      <c r="J79" s="580">
        <v>143992365</v>
      </c>
      <c r="K79" s="580">
        <v>182649360</v>
      </c>
      <c r="L79" s="580">
        <v>199260175</v>
      </c>
      <c r="M79" s="580">
        <v>273667560</v>
      </c>
      <c r="N79" s="592">
        <v>328250988</v>
      </c>
      <c r="O79" s="580">
        <v>20807400</v>
      </c>
      <c r="P79" s="580">
        <v>30606720</v>
      </c>
      <c r="Q79" s="580">
        <v>38099880</v>
      </c>
      <c r="R79" s="580">
        <v>44123100</v>
      </c>
      <c r="S79" s="580">
        <v>46426100</v>
      </c>
      <c r="T79" s="580">
        <v>46030920</v>
      </c>
      <c r="U79" s="580">
        <v>48942610</v>
      </c>
      <c r="V79" s="580">
        <v>55068555</v>
      </c>
      <c r="W79" s="580">
        <v>69731280</v>
      </c>
      <c r="X79" s="580">
        <v>77723540</v>
      </c>
      <c r="Y79" s="580">
        <v>97145826</v>
      </c>
      <c r="Z79" s="592">
        <v>119199858</v>
      </c>
      <c r="AA79" s="580">
        <v>54461600</v>
      </c>
      <c r="AB79" s="580">
        <v>75883440</v>
      </c>
      <c r="AC79" s="580">
        <v>109296200</v>
      </c>
      <c r="AD79" s="580">
        <v>139818600</v>
      </c>
      <c r="AE79" s="580">
        <v>171027850</v>
      </c>
      <c r="AF79" s="580">
        <v>166621640</v>
      </c>
      <c r="AG79" s="580">
        <v>174430310</v>
      </c>
      <c r="AH79" s="580">
        <v>199060920</v>
      </c>
      <c r="AI79" s="580">
        <v>252380640</v>
      </c>
      <c r="AJ79" s="580">
        <v>276983715</v>
      </c>
      <c r="AK79" s="580">
        <v>370813386</v>
      </c>
      <c r="AL79" s="592">
        <v>447450846</v>
      </c>
    </row>
    <row r="80" spans="1:38">
      <c r="B80" t="s">
        <v>7</v>
      </c>
      <c r="C80" s="580">
        <v>68481944.449951202</v>
      </c>
      <c r="D80" s="580">
        <v>111897622</v>
      </c>
      <c r="E80" s="580">
        <v>154366980</v>
      </c>
      <c r="F80" s="580">
        <v>206047768</v>
      </c>
      <c r="G80" s="580">
        <v>247290046.31005901</v>
      </c>
      <c r="H80" s="580">
        <v>226473109.37988299</v>
      </c>
      <c r="I80" s="580">
        <v>233283368.790039</v>
      </c>
      <c r="J80" s="580">
        <v>247145144.83007801</v>
      </c>
      <c r="K80" s="580">
        <v>319307962.33007801</v>
      </c>
      <c r="L80" s="580">
        <v>360458193.87011701</v>
      </c>
      <c r="M80" s="580">
        <v>416604230.87011701</v>
      </c>
      <c r="N80" s="592">
        <v>505638053.459961</v>
      </c>
      <c r="O80" s="580">
        <v>2516719.36999893</v>
      </c>
      <c r="P80" s="580">
        <v>2586315</v>
      </c>
      <c r="Q80" s="580">
        <v>2477322</v>
      </c>
      <c r="R80" s="580">
        <v>1931918</v>
      </c>
      <c r="S80" s="580">
        <v>1154012.51000023</v>
      </c>
      <c r="T80" s="580">
        <v>740175.92000007594</v>
      </c>
      <c r="U80" s="580">
        <v>432932.159999847</v>
      </c>
      <c r="V80" s="580">
        <v>343795.909999847</v>
      </c>
      <c r="W80" s="580">
        <v>330202.01999998098</v>
      </c>
      <c r="X80" s="580">
        <v>318138.30999994301</v>
      </c>
      <c r="Y80" s="580">
        <v>306608.90000009502</v>
      </c>
      <c r="Z80" s="592">
        <v>328130.34999990498</v>
      </c>
      <c r="AA80" s="580">
        <v>70998663.819950104</v>
      </c>
      <c r="AB80" s="580">
        <v>114483937</v>
      </c>
      <c r="AC80" s="580">
        <v>156844302</v>
      </c>
      <c r="AD80" s="580">
        <v>207979686</v>
      </c>
      <c r="AE80" s="580">
        <v>248444058.820059</v>
      </c>
      <c r="AF80" s="580">
        <v>227213285.29988301</v>
      </c>
      <c r="AG80" s="580">
        <v>233716300.950039</v>
      </c>
      <c r="AH80" s="580">
        <v>247488940.740078</v>
      </c>
      <c r="AI80" s="580">
        <v>319638164.35007799</v>
      </c>
      <c r="AJ80" s="580">
        <v>360776332.18011701</v>
      </c>
      <c r="AK80" s="580">
        <v>416910839.77011698</v>
      </c>
      <c r="AL80" s="592">
        <v>505966183.80996102</v>
      </c>
    </row>
    <row r="81" spans="1:38">
      <c r="B81" t="s">
        <v>8</v>
      </c>
      <c r="C81" s="580">
        <v>63839088.859985404</v>
      </c>
      <c r="D81" s="580">
        <v>102078572</v>
      </c>
      <c r="E81" s="580">
        <v>143538534</v>
      </c>
      <c r="F81" s="580">
        <v>172656996</v>
      </c>
      <c r="G81" s="580">
        <v>188007983.59008801</v>
      </c>
      <c r="H81" s="580">
        <v>165920513.60009801</v>
      </c>
      <c r="I81" s="580">
        <v>157223689.81005901</v>
      </c>
      <c r="J81" s="580">
        <v>153850060.16992199</v>
      </c>
      <c r="K81" s="580">
        <v>185260440.19995099</v>
      </c>
      <c r="L81" s="580">
        <v>197889638.110107</v>
      </c>
      <c r="M81" s="580">
        <v>210287433.889893</v>
      </c>
      <c r="N81" s="592">
        <v>241043612.44995099</v>
      </c>
      <c r="O81" s="580">
        <v>1313562.92000008</v>
      </c>
      <c r="P81" s="580">
        <v>1297224</v>
      </c>
      <c r="Q81" s="580">
        <v>1286659</v>
      </c>
      <c r="R81" s="580">
        <v>834225</v>
      </c>
      <c r="S81" s="580">
        <v>455223.69000005699</v>
      </c>
      <c r="T81" s="580">
        <v>284700.03999996203</v>
      </c>
      <c r="U81" s="580">
        <v>183088.75999999</v>
      </c>
      <c r="V81" s="580">
        <v>121149.190000057</v>
      </c>
      <c r="W81" s="580">
        <v>105037.570000052</v>
      </c>
      <c r="X81" s="580">
        <v>112211.389999986</v>
      </c>
      <c r="Y81" s="580">
        <v>94434.409999966607</v>
      </c>
      <c r="Z81" s="592">
        <v>100564.210000038</v>
      </c>
      <c r="AA81" s="580">
        <v>65152651.779985398</v>
      </c>
      <c r="AB81" s="580">
        <v>103375796</v>
      </c>
      <c r="AC81" s="580">
        <v>144825193</v>
      </c>
      <c r="AD81" s="580">
        <v>173491221</v>
      </c>
      <c r="AE81" s="580">
        <v>188463207.28008801</v>
      </c>
      <c r="AF81" s="580">
        <v>166205213.64009801</v>
      </c>
      <c r="AG81" s="580">
        <v>157406778.570059</v>
      </c>
      <c r="AH81" s="580">
        <v>153971209.35992199</v>
      </c>
      <c r="AI81" s="580">
        <v>185365477.76995099</v>
      </c>
      <c r="AJ81" s="580">
        <v>198001849.50010699</v>
      </c>
      <c r="AK81" s="580">
        <v>210381868.29989299</v>
      </c>
      <c r="AL81" s="592">
        <v>241144176.659951</v>
      </c>
    </row>
    <row r="82" spans="1:38">
      <c r="B82" t="s">
        <v>9</v>
      </c>
      <c r="C82" s="580">
        <v>47888571.719970703</v>
      </c>
      <c r="D82" s="580">
        <v>77455926</v>
      </c>
      <c r="E82" s="580">
        <v>107602003</v>
      </c>
      <c r="F82" s="580">
        <v>131524293</v>
      </c>
      <c r="G82" s="580">
        <v>139922138.820068</v>
      </c>
      <c r="H82" s="580">
        <v>121769624.829956</v>
      </c>
      <c r="I82" s="580">
        <v>112038737.98999</v>
      </c>
      <c r="J82" s="580">
        <v>103879230.14001501</v>
      </c>
      <c r="K82" s="580">
        <v>118446550.209961</v>
      </c>
      <c r="L82" s="580">
        <v>121697988.170044</v>
      </c>
      <c r="M82" s="580">
        <v>122199745.920044</v>
      </c>
      <c r="N82" s="592">
        <v>135747027.09008801</v>
      </c>
      <c r="O82" s="580">
        <v>478122.44000005699</v>
      </c>
      <c r="P82" s="580">
        <v>503492</v>
      </c>
      <c r="Q82" s="580">
        <v>502409</v>
      </c>
      <c r="R82" s="580">
        <v>278757</v>
      </c>
      <c r="S82" s="580">
        <v>165685.00999999</v>
      </c>
      <c r="T82" s="580">
        <v>113248.299999952</v>
      </c>
      <c r="U82" s="580">
        <v>64538.129999995203</v>
      </c>
      <c r="V82" s="580">
        <v>43425.730000019103</v>
      </c>
      <c r="W82" s="580">
        <v>35251.850000023798</v>
      </c>
      <c r="X82" s="580">
        <v>25782.870000004801</v>
      </c>
      <c r="Y82" s="580">
        <v>18230.599999994</v>
      </c>
      <c r="Z82" s="592">
        <v>15283.079999998199</v>
      </c>
      <c r="AA82" s="580">
        <v>48366694.159970798</v>
      </c>
      <c r="AB82" s="580">
        <v>77959418</v>
      </c>
      <c r="AC82" s="580">
        <v>108104412</v>
      </c>
      <c r="AD82" s="580">
        <v>131803050</v>
      </c>
      <c r="AE82" s="580">
        <v>140087823.83006799</v>
      </c>
      <c r="AF82" s="580">
        <v>121882873.12995601</v>
      </c>
      <c r="AG82" s="580">
        <v>112103276.11999001</v>
      </c>
      <c r="AH82" s="580">
        <v>103922655.870015</v>
      </c>
      <c r="AI82" s="580">
        <v>118481802.05996101</v>
      </c>
      <c r="AJ82" s="580">
        <v>121723771.04004399</v>
      </c>
      <c r="AK82" s="580">
        <v>122217976.520044</v>
      </c>
      <c r="AL82" s="592">
        <v>135762310.17008799</v>
      </c>
    </row>
    <row r="83" spans="1:38">
      <c r="B83" t="s">
        <v>10</v>
      </c>
      <c r="C83" s="580">
        <v>39131484.719970703</v>
      </c>
      <c r="D83" s="580">
        <v>63663149</v>
      </c>
      <c r="E83" s="580">
        <v>87457657</v>
      </c>
      <c r="F83" s="580">
        <v>99439785</v>
      </c>
      <c r="G83" s="580">
        <v>102033868.93005399</v>
      </c>
      <c r="H83" s="580">
        <v>89189422.810058594</v>
      </c>
      <c r="I83" s="580">
        <v>82645716.739990205</v>
      </c>
      <c r="J83" s="580">
        <v>77295985.920043901</v>
      </c>
      <c r="K83" s="580">
        <v>87509025.119995102</v>
      </c>
      <c r="L83" s="580">
        <v>88991444.449951202</v>
      </c>
      <c r="M83" s="580">
        <v>95387839.959960893</v>
      </c>
      <c r="N83" s="592">
        <v>105497181.280029</v>
      </c>
      <c r="O83" s="580">
        <v>215795.75999999</v>
      </c>
      <c r="P83" s="580">
        <v>230689</v>
      </c>
      <c r="Q83" s="580">
        <v>238517</v>
      </c>
      <c r="R83" s="580">
        <v>146209</v>
      </c>
      <c r="S83" s="580">
        <v>72863.100000023798</v>
      </c>
      <c r="T83" s="580">
        <v>47327.790000021501</v>
      </c>
      <c r="U83" s="580">
        <v>28061.909999996398</v>
      </c>
      <c r="V83" s="580">
        <v>16352.9800000042</v>
      </c>
      <c r="W83" s="580">
        <v>18045.169999986902</v>
      </c>
      <c r="X83" s="580">
        <v>12072.4300000072</v>
      </c>
      <c r="Y83" s="580">
        <v>7983.25</v>
      </c>
      <c r="Z83" s="592">
        <v>5555.5499999970198</v>
      </c>
      <c r="AA83" s="580">
        <v>39347280.479970701</v>
      </c>
      <c r="AB83" s="580">
        <v>63893838</v>
      </c>
      <c r="AC83" s="580">
        <v>87696174</v>
      </c>
      <c r="AD83" s="580">
        <v>99585994</v>
      </c>
      <c r="AE83" s="580">
        <v>102106732.030054</v>
      </c>
      <c r="AF83" s="580">
        <v>89236750.6000586</v>
      </c>
      <c r="AG83" s="580">
        <v>82673778.649990201</v>
      </c>
      <c r="AH83" s="580">
        <v>77312338.900043905</v>
      </c>
      <c r="AI83" s="580">
        <v>87527070.289995104</v>
      </c>
      <c r="AJ83" s="580">
        <v>89003516.879951194</v>
      </c>
      <c r="AK83" s="580">
        <v>95395823.209960893</v>
      </c>
      <c r="AL83" s="592">
        <v>105502736.830029</v>
      </c>
    </row>
    <row r="84" spans="1:38">
      <c r="B84" t="s">
        <v>11</v>
      </c>
      <c r="C84" s="580">
        <v>32375309.829986598</v>
      </c>
      <c r="D84" s="580">
        <v>51781921</v>
      </c>
      <c r="E84" s="580">
        <v>68374392</v>
      </c>
      <c r="F84" s="580">
        <v>79585479</v>
      </c>
      <c r="G84" s="580">
        <v>95185324.719970703</v>
      </c>
      <c r="H84" s="580">
        <v>97332113.040039107</v>
      </c>
      <c r="I84" s="580">
        <v>84716131.869995102</v>
      </c>
      <c r="J84" s="580">
        <v>68104598.119995102</v>
      </c>
      <c r="K84" s="580">
        <v>68994365.829956099</v>
      </c>
      <c r="L84" s="580">
        <v>67761031.479980499</v>
      </c>
      <c r="M84" s="580">
        <v>40450563.520019501</v>
      </c>
      <c r="N84" s="592">
        <v>36948215.169982903</v>
      </c>
      <c r="O84" s="580">
        <v>84098.75</v>
      </c>
      <c r="P84" s="580">
        <v>111040</v>
      </c>
      <c r="Q84" s="580">
        <v>96438</v>
      </c>
      <c r="R84" s="580">
        <v>57275</v>
      </c>
      <c r="S84" s="580">
        <v>22712.75</v>
      </c>
      <c r="T84" s="580">
        <v>12146.450000003</v>
      </c>
      <c r="U84" s="580">
        <v>4489.0399999991096</v>
      </c>
      <c r="V84" s="580">
        <v>2478.98999999836</v>
      </c>
      <c r="W84" s="580">
        <v>2605.4100000001499</v>
      </c>
      <c r="X84" s="580">
        <v>9073.57999999821</v>
      </c>
      <c r="Y84" s="580">
        <v>3277.6499999985099</v>
      </c>
      <c r="Z84" s="592">
        <v>3480.8599999993999</v>
      </c>
      <c r="AA84" s="580">
        <v>32459408.579986598</v>
      </c>
      <c r="AB84" s="580">
        <v>51892961</v>
      </c>
      <c r="AC84" s="580">
        <v>68470830</v>
      </c>
      <c r="AD84" s="580">
        <v>79642754</v>
      </c>
      <c r="AE84" s="580">
        <v>95208037.469970703</v>
      </c>
      <c r="AF84" s="580">
        <v>97344259.490039095</v>
      </c>
      <c r="AG84" s="580">
        <v>84720620.909995094</v>
      </c>
      <c r="AH84" s="580">
        <v>68107077.109995097</v>
      </c>
      <c r="AI84" s="580">
        <v>68996971.239956096</v>
      </c>
      <c r="AJ84" s="580">
        <v>67770105.059980497</v>
      </c>
      <c r="AK84" s="580">
        <v>40453841.1700195</v>
      </c>
      <c r="AL84" s="592">
        <v>36951696.029982902</v>
      </c>
    </row>
    <row r="85" spans="1:38">
      <c r="B85" t="s">
        <v>12</v>
      </c>
      <c r="C85" s="580">
        <v>33005533.9500122</v>
      </c>
      <c r="D85" s="580">
        <v>48920030</v>
      </c>
      <c r="E85" s="580">
        <v>67984032</v>
      </c>
      <c r="F85" s="580">
        <v>103389425</v>
      </c>
      <c r="G85" s="580">
        <v>65173698.109985404</v>
      </c>
      <c r="H85" s="580">
        <v>28490552.0599976</v>
      </c>
      <c r="I85" s="580">
        <v>18559474.6000061</v>
      </c>
      <c r="J85" s="580">
        <v>6469062.5500030499</v>
      </c>
      <c r="K85" s="580">
        <v>5083222.7699966403</v>
      </c>
      <c r="L85" s="580">
        <v>4835259.7099990798</v>
      </c>
      <c r="M85" s="580">
        <v>7696.7700000032801</v>
      </c>
      <c r="N85" s="592">
        <v>8283.57999999821</v>
      </c>
      <c r="O85" s="580">
        <v>34942.620000004797</v>
      </c>
      <c r="P85" s="580">
        <v>43106</v>
      </c>
      <c r="Q85" s="580">
        <v>39807</v>
      </c>
      <c r="R85" s="580">
        <v>19530</v>
      </c>
      <c r="S85" s="580">
        <v>8861.07999999821</v>
      </c>
      <c r="T85" s="580">
        <v>2616.5700000002998</v>
      </c>
      <c r="U85" s="580">
        <v>0</v>
      </c>
      <c r="V85" s="580">
        <v>0</v>
      </c>
      <c r="W85" s="580">
        <v>0</v>
      </c>
      <c r="X85" s="580">
        <v>3359.4800000004502</v>
      </c>
      <c r="Y85" s="580">
        <v>0</v>
      </c>
      <c r="Z85" s="592">
        <v>0</v>
      </c>
      <c r="AA85" s="580">
        <v>33040476.570012201</v>
      </c>
      <c r="AB85" s="580">
        <v>48963136</v>
      </c>
      <c r="AC85" s="580">
        <v>68023839</v>
      </c>
      <c r="AD85" s="580">
        <v>103408955</v>
      </c>
      <c r="AE85" s="580">
        <v>65182559.189985298</v>
      </c>
      <c r="AF85" s="580">
        <v>28493168.6299976</v>
      </c>
      <c r="AG85" s="580">
        <v>18559474.6000061</v>
      </c>
      <c r="AH85" s="580">
        <v>6469062.5500030499</v>
      </c>
      <c r="AI85" s="580">
        <v>5083222.7699966403</v>
      </c>
      <c r="AJ85" s="580">
        <v>4838619.1899990803</v>
      </c>
      <c r="AK85" s="580">
        <v>7696.7700000032801</v>
      </c>
      <c r="AL85" s="592">
        <v>8283.57999999821</v>
      </c>
    </row>
    <row r="86" spans="1:38">
      <c r="B86" t="s">
        <v>13</v>
      </c>
      <c r="C86" s="580">
        <v>37131330.390014596</v>
      </c>
      <c r="D86" s="580">
        <v>63366814</v>
      </c>
      <c r="E86" s="580">
        <v>68188854</v>
      </c>
      <c r="F86" s="580">
        <v>17455353</v>
      </c>
      <c r="G86" s="580">
        <v>4021470.5400009202</v>
      </c>
      <c r="H86" s="580">
        <v>5706.9600000008904</v>
      </c>
      <c r="I86" s="580">
        <v>5992.2999999970198</v>
      </c>
      <c r="J86" s="580">
        <v>0</v>
      </c>
      <c r="K86" s="580">
        <v>0</v>
      </c>
      <c r="L86" s="580">
        <v>0</v>
      </c>
      <c r="M86" s="580">
        <v>0</v>
      </c>
      <c r="N86" s="592">
        <v>0</v>
      </c>
      <c r="O86" s="580">
        <v>15650.5900000036</v>
      </c>
      <c r="P86" s="580">
        <v>21038</v>
      </c>
      <c r="Q86" s="580">
        <v>20761</v>
      </c>
      <c r="R86" s="580">
        <v>4307</v>
      </c>
      <c r="S86" s="580">
        <v>0</v>
      </c>
      <c r="T86" s="580">
        <v>0</v>
      </c>
      <c r="U86" s="580">
        <v>0</v>
      </c>
      <c r="V86" s="580">
        <v>0</v>
      </c>
      <c r="W86" s="580">
        <v>0</v>
      </c>
      <c r="X86" s="580">
        <v>0</v>
      </c>
      <c r="Y86" s="580">
        <v>0</v>
      </c>
      <c r="Z86" s="592">
        <v>0</v>
      </c>
      <c r="AA86" s="580">
        <v>37146980.980014697</v>
      </c>
      <c r="AB86" s="580">
        <v>63387852</v>
      </c>
      <c r="AC86" s="580">
        <v>68209615</v>
      </c>
      <c r="AD86" s="580">
        <v>17459660</v>
      </c>
      <c r="AE86" s="580">
        <v>4021470.5400009202</v>
      </c>
      <c r="AF86" s="580">
        <v>5706.9600000008904</v>
      </c>
      <c r="AG86" s="580">
        <v>5992.2999999970198</v>
      </c>
      <c r="AH86" s="580">
        <v>0</v>
      </c>
      <c r="AI86" s="580">
        <v>0</v>
      </c>
      <c r="AJ86" s="580">
        <v>0</v>
      </c>
      <c r="AK86" s="580">
        <v>0</v>
      </c>
      <c r="AL86" s="592">
        <v>0</v>
      </c>
    </row>
    <row r="87" spans="1:38">
      <c r="B87" t="s">
        <v>14</v>
      </c>
      <c r="C87" s="580">
        <v>0</v>
      </c>
      <c r="D87" s="580">
        <v>0</v>
      </c>
      <c r="E87" s="580">
        <v>1355146</v>
      </c>
      <c r="F87" s="580">
        <v>522841</v>
      </c>
      <c r="G87" s="580">
        <v>2801.8200000002998</v>
      </c>
      <c r="H87" s="580">
        <v>0</v>
      </c>
      <c r="I87" s="580">
        <v>0</v>
      </c>
      <c r="J87" s="580">
        <v>0</v>
      </c>
      <c r="K87" s="580">
        <v>0</v>
      </c>
      <c r="L87" s="580">
        <v>0</v>
      </c>
      <c r="M87" s="580">
        <v>0</v>
      </c>
      <c r="N87" s="592">
        <v>5763</v>
      </c>
      <c r="O87" s="580">
        <v>0</v>
      </c>
      <c r="P87" s="580">
        <v>0</v>
      </c>
      <c r="Q87" s="580">
        <v>0</v>
      </c>
      <c r="R87" s="580">
        <v>0</v>
      </c>
      <c r="S87" s="580">
        <v>0</v>
      </c>
      <c r="T87" s="580">
        <v>0</v>
      </c>
      <c r="U87" s="580">
        <v>0</v>
      </c>
      <c r="V87" s="580">
        <v>0</v>
      </c>
      <c r="W87" s="580">
        <v>0</v>
      </c>
      <c r="X87" s="580">
        <v>0</v>
      </c>
      <c r="Y87" s="580">
        <v>0</v>
      </c>
      <c r="Z87" s="592">
        <v>0</v>
      </c>
      <c r="AA87" s="580">
        <v>0</v>
      </c>
      <c r="AB87" s="580">
        <v>0</v>
      </c>
      <c r="AC87" s="580">
        <v>1355146</v>
      </c>
      <c r="AD87" s="580">
        <v>522841</v>
      </c>
      <c r="AE87" s="580">
        <v>2801.8200000002998</v>
      </c>
      <c r="AF87" s="580">
        <v>0</v>
      </c>
      <c r="AG87" s="580">
        <v>0</v>
      </c>
      <c r="AH87" s="580">
        <v>0</v>
      </c>
      <c r="AI87" s="580">
        <v>0</v>
      </c>
      <c r="AJ87" s="580">
        <v>0</v>
      </c>
      <c r="AK87" s="580">
        <v>0</v>
      </c>
      <c r="AL87" s="592">
        <v>5763</v>
      </c>
    </row>
    <row r="88" spans="1:38">
      <c r="B88" t="s">
        <v>15</v>
      </c>
      <c r="C88" s="580">
        <v>1879.2799999993299</v>
      </c>
      <c r="D88" s="580">
        <v>2250</v>
      </c>
      <c r="E88" s="580">
        <v>0</v>
      </c>
      <c r="F88" s="580">
        <v>0</v>
      </c>
      <c r="G88" s="580">
        <v>0</v>
      </c>
      <c r="H88" s="580">
        <v>0</v>
      </c>
      <c r="I88" s="580">
        <v>0</v>
      </c>
      <c r="J88" s="580">
        <v>0</v>
      </c>
      <c r="K88" s="580">
        <v>0</v>
      </c>
      <c r="L88" s="580">
        <v>0</v>
      </c>
      <c r="M88" s="580">
        <v>0</v>
      </c>
      <c r="N88" s="592">
        <v>0</v>
      </c>
      <c r="O88" s="580">
        <v>0</v>
      </c>
      <c r="P88" s="580">
        <v>0</v>
      </c>
      <c r="Q88" s="580">
        <v>0</v>
      </c>
      <c r="R88" s="580">
        <v>0</v>
      </c>
      <c r="S88" s="580">
        <v>0</v>
      </c>
      <c r="T88" s="580">
        <v>0</v>
      </c>
      <c r="U88" s="580">
        <v>0</v>
      </c>
      <c r="V88" s="580">
        <v>0</v>
      </c>
      <c r="W88" s="580">
        <v>0</v>
      </c>
      <c r="X88" s="580">
        <v>0</v>
      </c>
      <c r="Y88" s="580">
        <v>0</v>
      </c>
      <c r="Z88" s="592">
        <v>0</v>
      </c>
      <c r="AA88" s="580">
        <v>1879.2799999993299</v>
      </c>
      <c r="AB88" s="580">
        <v>2250</v>
      </c>
      <c r="AC88" s="580">
        <v>0</v>
      </c>
      <c r="AD88" s="580">
        <v>0</v>
      </c>
      <c r="AE88" s="580">
        <v>0</v>
      </c>
      <c r="AF88" s="580">
        <v>0</v>
      </c>
      <c r="AG88" s="580">
        <v>0</v>
      </c>
      <c r="AH88" s="580">
        <v>0</v>
      </c>
      <c r="AI88" s="580">
        <v>0</v>
      </c>
      <c r="AJ88" s="580">
        <v>0</v>
      </c>
      <c r="AK88" s="580">
        <v>0</v>
      </c>
      <c r="AL88" s="592">
        <v>0</v>
      </c>
    </row>
    <row r="89" spans="1:38">
      <c r="A89" t="s">
        <v>84</v>
      </c>
      <c r="B89" t="s">
        <v>3</v>
      </c>
      <c r="C89" s="580">
        <v>2755620.57000071</v>
      </c>
      <c r="D89" s="580">
        <v>4174861</v>
      </c>
      <c r="E89" s="580">
        <v>5307770</v>
      </c>
      <c r="F89" s="580">
        <v>6984989</v>
      </c>
      <c r="G89" s="580">
        <v>7528586.69000124</v>
      </c>
      <c r="H89" s="580">
        <v>8769014.9600002803</v>
      </c>
      <c r="I89" s="580">
        <v>10213894.6899991</v>
      </c>
      <c r="J89" s="580">
        <v>13154886.349997999</v>
      </c>
      <c r="K89" s="580">
        <v>16001677.949997701</v>
      </c>
      <c r="L89" s="580">
        <v>19231375.160007901</v>
      </c>
      <c r="M89" s="580">
        <v>23926886.199994501</v>
      </c>
      <c r="N89" s="592">
        <v>29364187.720003501</v>
      </c>
      <c r="O89" s="580">
        <v>354688.36999992299</v>
      </c>
      <c r="P89" s="580">
        <v>507970</v>
      </c>
      <c r="Q89" s="580">
        <v>662541</v>
      </c>
      <c r="R89" s="580">
        <v>909995</v>
      </c>
      <c r="S89" s="580">
        <v>998535.12999997695</v>
      </c>
      <c r="T89" s="580">
        <v>1113685.4399999499</v>
      </c>
      <c r="U89" s="580">
        <v>1196499.4999999399</v>
      </c>
      <c r="V89" s="580">
        <v>1409920.94000004</v>
      </c>
      <c r="W89" s="580">
        <v>1605767.19000009</v>
      </c>
      <c r="X89" s="580">
        <v>1805959.25000003</v>
      </c>
      <c r="Y89" s="580">
        <v>2060301.7899998601</v>
      </c>
      <c r="Z89" s="592">
        <v>2349297.0700000399</v>
      </c>
      <c r="AA89" s="580">
        <v>3110308.94000063</v>
      </c>
      <c r="AB89" s="580">
        <v>4682831</v>
      </c>
      <c r="AC89" s="580">
        <v>5970311</v>
      </c>
      <c r="AD89" s="580">
        <v>7894984</v>
      </c>
      <c r="AE89" s="580">
        <v>8527121.8200012203</v>
      </c>
      <c r="AF89" s="580">
        <v>9882700.4000002295</v>
      </c>
      <c r="AG89" s="580">
        <v>11410394.1899991</v>
      </c>
      <c r="AH89" s="580">
        <v>14564807.289998099</v>
      </c>
      <c r="AI89" s="580">
        <v>17607445.139997799</v>
      </c>
      <c r="AJ89" s="580">
        <v>21037334.410007901</v>
      </c>
      <c r="AK89" s="580">
        <v>25987187.989994299</v>
      </c>
      <c r="AL89" s="592">
        <v>31713484.790003601</v>
      </c>
    </row>
    <row r="90" spans="1:38">
      <c r="B90" t="s">
        <v>5</v>
      </c>
      <c r="C90" s="580">
        <v>36696.110000014298</v>
      </c>
      <c r="D90" s="580">
        <v>73480</v>
      </c>
      <c r="E90" s="580">
        <v>112734</v>
      </c>
      <c r="F90" s="580">
        <v>193680</v>
      </c>
      <c r="G90" s="580">
        <v>263786.03000020998</v>
      </c>
      <c r="H90" s="580">
        <v>336653.05000019103</v>
      </c>
      <c r="I90" s="580">
        <v>431905.659999847</v>
      </c>
      <c r="J90" s="580">
        <v>570561.71000003803</v>
      </c>
      <c r="K90" s="580">
        <v>758970.11999988602</v>
      </c>
      <c r="L90" s="580">
        <v>1014125.94999981</v>
      </c>
      <c r="M90" s="580">
        <v>1461613.6499996199</v>
      </c>
      <c r="N90" s="592">
        <v>1960396.54000092</v>
      </c>
      <c r="O90" s="580">
        <v>5572.6499999985099</v>
      </c>
      <c r="P90" s="580">
        <v>9993</v>
      </c>
      <c r="Q90" s="580">
        <v>16334</v>
      </c>
      <c r="R90" s="580">
        <v>27380</v>
      </c>
      <c r="S90" s="580">
        <v>33758.069999992797</v>
      </c>
      <c r="T90" s="580">
        <v>44159.4900000095</v>
      </c>
      <c r="U90" s="580">
        <v>52495.720000028603</v>
      </c>
      <c r="V90" s="580">
        <v>69454.080000042901</v>
      </c>
      <c r="W90" s="580">
        <v>76951.529999971404</v>
      </c>
      <c r="X90" s="580">
        <v>97351.480000019103</v>
      </c>
      <c r="Y90" s="580">
        <v>123457.179999948</v>
      </c>
      <c r="Z90" s="592">
        <v>140522.829999924</v>
      </c>
      <c r="AA90" s="580">
        <v>42268.7600000128</v>
      </c>
      <c r="AB90" s="580">
        <v>83473</v>
      </c>
      <c r="AC90" s="580">
        <v>129068</v>
      </c>
      <c r="AD90" s="580">
        <v>221060</v>
      </c>
      <c r="AE90" s="580">
        <v>297544.10000020301</v>
      </c>
      <c r="AF90" s="580">
        <v>380812.54000019998</v>
      </c>
      <c r="AG90" s="580">
        <v>484401.37999987602</v>
      </c>
      <c r="AH90" s="580">
        <v>640015.79000008095</v>
      </c>
      <c r="AI90" s="580">
        <v>835921.64999985695</v>
      </c>
      <c r="AJ90" s="580">
        <v>1111477.42999983</v>
      </c>
      <c r="AK90" s="580">
        <v>1585070.82999957</v>
      </c>
      <c r="AL90" s="592">
        <v>2100919.3700008402</v>
      </c>
    </row>
    <row r="91" spans="1:38">
      <c r="B91" t="s">
        <v>6</v>
      </c>
      <c r="C91" s="580">
        <v>350200</v>
      </c>
      <c r="D91" s="580">
        <v>428640</v>
      </c>
      <c r="E91" s="580">
        <v>550420</v>
      </c>
      <c r="F91" s="580">
        <v>927900</v>
      </c>
      <c r="G91" s="580">
        <v>1423450</v>
      </c>
      <c r="H91" s="580">
        <v>2006020</v>
      </c>
      <c r="I91" s="580">
        <v>2730285</v>
      </c>
      <c r="J91" s="580">
        <v>4148730</v>
      </c>
      <c r="K91" s="580">
        <v>4669050</v>
      </c>
      <c r="L91" s="580">
        <v>5307755</v>
      </c>
      <c r="M91" s="580">
        <v>8215376</v>
      </c>
      <c r="N91" s="592">
        <v>10397130</v>
      </c>
      <c r="O91" s="580">
        <v>235000</v>
      </c>
      <c r="P91" s="580">
        <v>354000</v>
      </c>
      <c r="Q91" s="580">
        <v>475020</v>
      </c>
      <c r="R91" s="580">
        <v>677400</v>
      </c>
      <c r="S91" s="580">
        <v>779100</v>
      </c>
      <c r="T91" s="580">
        <v>881220</v>
      </c>
      <c r="U91" s="580">
        <v>966535</v>
      </c>
      <c r="V91" s="580">
        <v>1162500</v>
      </c>
      <c r="W91" s="580">
        <v>1306110</v>
      </c>
      <c r="X91" s="580">
        <v>1494390</v>
      </c>
      <c r="Y91" s="580">
        <v>1765858</v>
      </c>
      <c r="Z91" s="592">
        <v>2014338</v>
      </c>
      <c r="AA91" s="580">
        <v>585200</v>
      </c>
      <c r="AB91" s="580">
        <v>782640</v>
      </c>
      <c r="AC91" s="580">
        <v>1025440</v>
      </c>
      <c r="AD91" s="580">
        <v>1605300</v>
      </c>
      <c r="AE91" s="580">
        <v>2202550</v>
      </c>
      <c r="AF91" s="580">
        <v>2887240</v>
      </c>
      <c r="AG91" s="580">
        <v>3696820</v>
      </c>
      <c r="AH91" s="580">
        <v>5311230</v>
      </c>
      <c r="AI91" s="580">
        <v>5975160</v>
      </c>
      <c r="AJ91" s="580">
        <v>6802145</v>
      </c>
      <c r="AK91" s="580">
        <v>9981234</v>
      </c>
      <c r="AL91" s="592">
        <v>12411468</v>
      </c>
    </row>
    <row r="92" spans="1:38">
      <c r="B92" t="s">
        <v>7</v>
      </c>
      <c r="C92" s="580">
        <v>909175.520000458</v>
      </c>
      <c r="D92" s="580">
        <v>1530315</v>
      </c>
      <c r="E92" s="580">
        <v>2217528</v>
      </c>
      <c r="F92" s="580">
        <v>3384496</v>
      </c>
      <c r="G92" s="580">
        <v>4002606.2200012198</v>
      </c>
      <c r="H92" s="580">
        <v>4672911.8899993896</v>
      </c>
      <c r="I92" s="580">
        <v>5438123.0299987802</v>
      </c>
      <c r="J92" s="580">
        <v>6912059.73999786</v>
      </c>
      <c r="K92" s="580">
        <v>8912822.4499969501</v>
      </c>
      <c r="L92" s="580">
        <v>11111537.8200073</v>
      </c>
      <c r="M92" s="580">
        <v>12648016.259994499</v>
      </c>
      <c r="N92" s="592">
        <v>15381642.4400024</v>
      </c>
      <c r="O92" s="580">
        <v>66661.299999952302</v>
      </c>
      <c r="P92" s="580">
        <v>94084</v>
      </c>
      <c r="Q92" s="580">
        <v>115154</v>
      </c>
      <c r="R92" s="580">
        <v>150717</v>
      </c>
      <c r="S92" s="580">
        <v>141360.25999999</v>
      </c>
      <c r="T92" s="580">
        <v>151667.30999994301</v>
      </c>
      <c r="U92" s="580">
        <v>155074.09999990501</v>
      </c>
      <c r="V92" s="580">
        <v>156296.75999999</v>
      </c>
      <c r="W92" s="580">
        <v>203085.130000114</v>
      </c>
      <c r="X92" s="580">
        <v>194497.49000001</v>
      </c>
      <c r="Y92" s="580">
        <v>164988.58999991399</v>
      </c>
      <c r="Z92" s="592">
        <v>188105.880000114</v>
      </c>
      <c r="AA92" s="580">
        <v>975836.82000040996</v>
      </c>
      <c r="AB92" s="580">
        <v>1624399</v>
      </c>
      <c r="AC92" s="580">
        <v>2332682</v>
      </c>
      <c r="AD92" s="580">
        <v>3535213</v>
      </c>
      <c r="AE92" s="580">
        <v>4143966.4800012098</v>
      </c>
      <c r="AF92" s="580">
        <v>4824579.1999993296</v>
      </c>
      <c r="AG92" s="580">
        <v>5593197.1299986802</v>
      </c>
      <c r="AH92" s="580">
        <v>7068356.4999978496</v>
      </c>
      <c r="AI92" s="580">
        <v>9115907.5799970608</v>
      </c>
      <c r="AJ92" s="580">
        <v>11306035.3100073</v>
      </c>
      <c r="AK92" s="580">
        <v>12813004.849994401</v>
      </c>
      <c r="AL92" s="592">
        <v>15569748.320002601</v>
      </c>
    </row>
    <row r="93" spans="1:38">
      <c r="B93" t="s">
        <v>8</v>
      </c>
      <c r="C93" s="580">
        <v>770965.31000041997</v>
      </c>
      <c r="D93" s="580">
        <v>1190829</v>
      </c>
      <c r="E93" s="580">
        <v>1417023</v>
      </c>
      <c r="F93" s="580">
        <v>1560552</v>
      </c>
      <c r="G93" s="580">
        <v>1140554.3999996199</v>
      </c>
      <c r="H93" s="580">
        <v>1110810.3700008399</v>
      </c>
      <c r="I93" s="580">
        <v>1058865.6000003801</v>
      </c>
      <c r="J93" s="580">
        <v>1081219.34000015</v>
      </c>
      <c r="K93" s="580">
        <v>1205271.79000092</v>
      </c>
      <c r="L93" s="580">
        <v>1331524.54000092</v>
      </c>
      <c r="M93" s="580">
        <v>1180341.6000003801</v>
      </c>
      <c r="N93" s="592">
        <v>1255247.51000023</v>
      </c>
      <c r="O93" s="580">
        <v>36396.839999973803</v>
      </c>
      <c r="P93" s="580">
        <v>36177</v>
      </c>
      <c r="Q93" s="580">
        <v>37975</v>
      </c>
      <c r="R93" s="580">
        <v>36555</v>
      </c>
      <c r="S93" s="580">
        <v>31660.449999988101</v>
      </c>
      <c r="T93" s="580">
        <v>27449.030000001199</v>
      </c>
      <c r="U93" s="580">
        <v>16650.400000006</v>
      </c>
      <c r="V93" s="580">
        <v>18430.400000006</v>
      </c>
      <c r="W93" s="580">
        <v>14497.579999998199</v>
      </c>
      <c r="X93" s="580">
        <v>16186.5</v>
      </c>
      <c r="Y93" s="580">
        <v>4093.92000000179</v>
      </c>
      <c r="Z93" s="592">
        <v>6330.3599999994003</v>
      </c>
      <c r="AA93" s="580">
        <v>807362.15000039304</v>
      </c>
      <c r="AB93" s="580">
        <v>1227006</v>
      </c>
      <c r="AC93" s="580">
        <v>1454998</v>
      </c>
      <c r="AD93" s="580">
        <v>1597107</v>
      </c>
      <c r="AE93" s="580">
        <v>1172214.8499996101</v>
      </c>
      <c r="AF93" s="580">
        <v>1138259.40000084</v>
      </c>
      <c r="AG93" s="580">
        <v>1075516.00000039</v>
      </c>
      <c r="AH93" s="580">
        <v>1099649.7400001599</v>
      </c>
      <c r="AI93" s="580">
        <v>1219769.37000091</v>
      </c>
      <c r="AJ93" s="580">
        <v>1347711.04000092</v>
      </c>
      <c r="AK93" s="580">
        <v>1184435.52000038</v>
      </c>
      <c r="AL93" s="592">
        <v>1261577.8700002299</v>
      </c>
    </row>
    <row r="94" spans="1:38">
      <c r="B94" t="s">
        <v>9</v>
      </c>
      <c r="C94" s="580">
        <v>316641.26999998098</v>
      </c>
      <c r="D94" s="580">
        <v>465196</v>
      </c>
      <c r="E94" s="580">
        <v>534785</v>
      </c>
      <c r="F94" s="580">
        <v>519614</v>
      </c>
      <c r="G94" s="580">
        <v>404364.86000013398</v>
      </c>
      <c r="H94" s="580">
        <v>397500.659999847</v>
      </c>
      <c r="I94" s="580">
        <v>342405.28000020998</v>
      </c>
      <c r="J94" s="580">
        <v>274552.25</v>
      </c>
      <c r="K94" s="580">
        <v>283847.17999982799</v>
      </c>
      <c r="L94" s="580">
        <v>315576.21999979002</v>
      </c>
      <c r="M94" s="580">
        <v>289783.30999994301</v>
      </c>
      <c r="N94" s="592">
        <v>245757.33999991399</v>
      </c>
      <c r="O94" s="580">
        <v>6175.9699999988097</v>
      </c>
      <c r="P94" s="580">
        <v>7172</v>
      </c>
      <c r="Q94" s="580">
        <v>10815</v>
      </c>
      <c r="R94" s="580">
        <v>11410</v>
      </c>
      <c r="S94" s="580">
        <v>9774.9800000041705</v>
      </c>
      <c r="T94" s="580">
        <v>9189.6099999994003</v>
      </c>
      <c r="U94" s="580">
        <v>5744.2800000011903</v>
      </c>
      <c r="V94" s="580">
        <v>3239.6999999992499</v>
      </c>
      <c r="W94" s="580">
        <v>5122.9500000029802</v>
      </c>
      <c r="X94" s="580">
        <v>3533.7800000011898</v>
      </c>
      <c r="Y94" s="580">
        <v>1904.09999999963</v>
      </c>
      <c r="Z94" s="592">
        <v>0</v>
      </c>
      <c r="AA94" s="580">
        <v>322817.23999998003</v>
      </c>
      <c r="AB94" s="580">
        <v>472368</v>
      </c>
      <c r="AC94" s="580">
        <v>545600</v>
      </c>
      <c r="AD94" s="580">
        <v>531024</v>
      </c>
      <c r="AE94" s="580">
        <v>414139.84000013798</v>
      </c>
      <c r="AF94" s="580">
        <v>406690.26999984699</v>
      </c>
      <c r="AG94" s="580">
        <v>348149.560000211</v>
      </c>
      <c r="AH94" s="580">
        <v>277791.94999999902</v>
      </c>
      <c r="AI94" s="580">
        <v>288970.12999983103</v>
      </c>
      <c r="AJ94" s="580">
        <v>319109.99999979098</v>
      </c>
      <c r="AK94" s="580">
        <v>291687.409999942</v>
      </c>
      <c r="AL94" s="592">
        <v>245757.33999991399</v>
      </c>
    </row>
    <row r="95" spans="1:38">
      <c r="B95" t="s">
        <v>10</v>
      </c>
      <c r="C95" s="580">
        <v>177889.869999886</v>
      </c>
      <c r="D95" s="580">
        <v>244447</v>
      </c>
      <c r="E95" s="580">
        <v>245337</v>
      </c>
      <c r="F95" s="580">
        <v>210345</v>
      </c>
      <c r="G95" s="580">
        <v>167152.40000009499</v>
      </c>
      <c r="H95" s="580">
        <v>163825.52999997101</v>
      </c>
      <c r="I95" s="580">
        <v>139947.049999952</v>
      </c>
      <c r="J95" s="580">
        <v>127991.539999962</v>
      </c>
      <c r="K95" s="580">
        <v>143458.380000114</v>
      </c>
      <c r="L95" s="580">
        <v>123073.700000048</v>
      </c>
      <c r="M95" s="580">
        <v>100222.24000001</v>
      </c>
      <c r="N95" s="592">
        <v>98010.970000028596</v>
      </c>
      <c r="O95" s="580">
        <v>2770.8799999989601</v>
      </c>
      <c r="P95" s="580">
        <v>5295</v>
      </c>
      <c r="Q95" s="580">
        <v>5938</v>
      </c>
      <c r="R95" s="580">
        <v>6533</v>
      </c>
      <c r="S95" s="580">
        <v>2881.3700000010399</v>
      </c>
      <c r="T95" s="580">
        <v>0</v>
      </c>
      <c r="U95" s="580">
        <v>0</v>
      </c>
      <c r="V95" s="580">
        <v>0</v>
      </c>
      <c r="W95" s="580">
        <v>0</v>
      </c>
      <c r="X95" s="580">
        <v>0</v>
      </c>
      <c r="Y95" s="580">
        <v>0</v>
      </c>
      <c r="Z95" s="592">
        <v>0</v>
      </c>
      <c r="AA95" s="580">
        <v>180660.74999988501</v>
      </c>
      <c r="AB95" s="580">
        <v>249742</v>
      </c>
      <c r="AC95" s="580">
        <v>251275</v>
      </c>
      <c r="AD95" s="580">
        <v>216878</v>
      </c>
      <c r="AE95" s="580">
        <v>170033.770000096</v>
      </c>
      <c r="AF95" s="580">
        <v>163825.52999997101</v>
      </c>
      <c r="AG95" s="580">
        <v>139947.049999952</v>
      </c>
      <c r="AH95" s="580">
        <v>127991.539999962</v>
      </c>
      <c r="AI95" s="580">
        <v>143458.380000114</v>
      </c>
      <c r="AJ95" s="580">
        <v>123073.700000048</v>
      </c>
      <c r="AK95" s="580">
        <v>100222.24000001</v>
      </c>
      <c r="AL95" s="592">
        <v>98010.970000028596</v>
      </c>
    </row>
    <row r="96" spans="1:38">
      <c r="B96" t="s">
        <v>11</v>
      </c>
      <c r="C96" s="580">
        <v>95691.269999980897</v>
      </c>
      <c r="D96" s="580">
        <v>123674</v>
      </c>
      <c r="E96" s="580">
        <v>121576</v>
      </c>
      <c r="F96" s="580">
        <v>113941</v>
      </c>
      <c r="G96" s="580">
        <v>92679.169999957099</v>
      </c>
      <c r="H96" s="580">
        <v>69130.210000038103</v>
      </c>
      <c r="I96" s="580">
        <v>53534.089999973803</v>
      </c>
      <c r="J96" s="580">
        <v>30717.4900000095</v>
      </c>
      <c r="K96" s="580">
        <v>24939.530000001199</v>
      </c>
      <c r="L96" s="580">
        <v>20839.189999997601</v>
      </c>
      <c r="M96" s="580">
        <v>23868.9300000072</v>
      </c>
      <c r="N96" s="592">
        <v>21843.919999986902</v>
      </c>
      <c r="O96" s="580">
        <v>2110.7300000004502</v>
      </c>
      <c r="P96" s="580">
        <v>1249</v>
      </c>
      <c r="Q96" s="580">
        <v>1305</v>
      </c>
      <c r="R96" s="580">
        <v>0</v>
      </c>
      <c r="S96" s="580">
        <v>0</v>
      </c>
      <c r="T96" s="580">
        <v>0</v>
      </c>
      <c r="U96" s="580">
        <v>0</v>
      </c>
      <c r="V96" s="580">
        <v>0</v>
      </c>
      <c r="W96" s="580">
        <v>0</v>
      </c>
      <c r="X96" s="580">
        <v>0</v>
      </c>
      <c r="Y96" s="580">
        <v>0</v>
      </c>
      <c r="Z96" s="592">
        <v>0</v>
      </c>
      <c r="AA96" s="580">
        <v>97801.999999981403</v>
      </c>
      <c r="AB96" s="580">
        <v>124923</v>
      </c>
      <c r="AC96" s="580">
        <v>122881</v>
      </c>
      <c r="AD96" s="580">
        <v>113941</v>
      </c>
      <c r="AE96" s="580">
        <v>92679.169999957099</v>
      </c>
      <c r="AF96" s="580">
        <v>69130.210000038103</v>
      </c>
      <c r="AG96" s="580">
        <v>53534.089999973803</v>
      </c>
      <c r="AH96" s="580">
        <v>30717.4900000095</v>
      </c>
      <c r="AI96" s="580">
        <v>24939.530000001199</v>
      </c>
      <c r="AJ96" s="580">
        <v>20839.189999997601</v>
      </c>
      <c r="AK96" s="580">
        <v>23868.9300000072</v>
      </c>
      <c r="AL96" s="592">
        <v>21843.919999986902</v>
      </c>
    </row>
    <row r="97" spans="1:38">
      <c r="B97" t="s">
        <v>12</v>
      </c>
      <c r="C97" s="580">
        <v>74745.409999966607</v>
      </c>
      <c r="D97" s="580">
        <v>84622</v>
      </c>
      <c r="E97" s="580">
        <v>81286</v>
      </c>
      <c r="F97" s="580">
        <v>56411</v>
      </c>
      <c r="G97" s="580">
        <v>31521.150000006</v>
      </c>
      <c r="H97" s="580">
        <v>12163.25</v>
      </c>
      <c r="I97" s="580">
        <v>12888.7699999958</v>
      </c>
      <c r="J97" s="580">
        <v>9054.2800000011903</v>
      </c>
      <c r="K97" s="580">
        <v>3318.5</v>
      </c>
      <c r="L97" s="580">
        <v>6942.7400000020898</v>
      </c>
      <c r="M97" s="580">
        <v>7664.2100000008904</v>
      </c>
      <c r="N97" s="592">
        <v>4159</v>
      </c>
      <c r="O97" s="580">
        <v>0</v>
      </c>
      <c r="P97" s="580">
        <v>0</v>
      </c>
      <c r="Q97" s="580">
        <v>0</v>
      </c>
      <c r="R97" s="580">
        <v>0</v>
      </c>
      <c r="S97" s="580">
        <v>0</v>
      </c>
      <c r="T97" s="580">
        <v>0</v>
      </c>
      <c r="U97" s="580">
        <v>0</v>
      </c>
      <c r="V97" s="580">
        <v>0</v>
      </c>
      <c r="W97" s="580">
        <v>0</v>
      </c>
      <c r="X97" s="580">
        <v>0</v>
      </c>
      <c r="Y97" s="580">
        <v>0</v>
      </c>
      <c r="Z97" s="592">
        <v>0</v>
      </c>
      <c r="AA97" s="580">
        <v>74745.409999966607</v>
      </c>
      <c r="AB97" s="580">
        <v>84622</v>
      </c>
      <c r="AC97" s="580">
        <v>81286</v>
      </c>
      <c r="AD97" s="580">
        <v>56411</v>
      </c>
      <c r="AE97" s="580">
        <v>31521.150000006</v>
      </c>
      <c r="AF97" s="580">
        <v>12163.25</v>
      </c>
      <c r="AG97" s="580">
        <v>12888.7699999958</v>
      </c>
      <c r="AH97" s="580">
        <v>9054.2800000011903</v>
      </c>
      <c r="AI97" s="580">
        <v>3318.5</v>
      </c>
      <c r="AJ97" s="580">
        <v>6942.7400000020898</v>
      </c>
      <c r="AK97" s="580">
        <v>7664.2100000008904</v>
      </c>
      <c r="AL97" s="592">
        <v>4159</v>
      </c>
    </row>
    <row r="98" spans="1:38">
      <c r="B98" t="s">
        <v>13</v>
      </c>
      <c r="C98" s="580">
        <v>23615.810000002399</v>
      </c>
      <c r="D98" s="580">
        <v>33658</v>
      </c>
      <c r="E98" s="580">
        <v>24945</v>
      </c>
      <c r="F98" s="580">
        <v>18050</v>
      </c>
      <c r="G98" s="580">
        <v>2472.46000000089</v>
      </c>
      <c r="H98" s="580">
        <v>0</v>
      </c>
      <c r="I98" s="580">
        <v>5940.2100000008904</v>
      </c>
      <c r="J98" s="580">
        <v>0</v>
      </c>
      <c r="K98" s="580">
        <v>0</v>
      </c>
      <c r="L98" s="580">
        <v>0</v>
      </c>
      <c r="M98" s="580">
        <v>0</v>
      </c>
      <c r="N98" s="592">
        <v>0</v>
      </c>
      <c r="O98" s="580">
        <v>0</v>
      </c>
      <c r="P98" s="580">
        <v>0</v>
      </c>
      <c r="Q98" s="580">
        <v>0</v>
      </c>
      <c r="R98" s="580">
        <v>0</v>
      </c>
      <c r="S98" s="580">
        <v>0</v>
      </c>
      <c r="T98" s="580">
        <v>0</v>
      </c>
      <c r="U98" s="580">
        <v>0</v>
      </c>
      <c r="V98" s="580">
        <v>0</v>
      </c>
      <c r="W98" s="580">
        <v>0</v>
      </c>
      <c r="X98" s="580">
        <v>0</v>
      </c>
      <c r="Y98" s="580">
        <v>0</v>
      </c>
      <c r="Z98" s="592">
        <v>0</v>
      </c>
      <c r="AA98" s="580">
        <v>23615.810000002399</v>
      </c>
      <c r="AB98" s="580">
        <v>33658</v>
      </c>
      <c r="AC98" s="580">
        <v>24945</v>
      </c>
      <c r="AD98" s="580">
        <v>18050</v>
      </c>
      <c r="AE98" s="580">
        <v>2472.46000000089</v>
      </c>
      <c r="AF98" s="580">
        <v>0</v>
      </c>
      <c r="AG98" s="580">
        <v>5940.2100000008904</v>
      </c>
      <c r="AH98" s="580">
        <v>0</v>
      </c>
      <c r="AI98" s="580">
        <v>0</v>
      </c>
      <c r="AJ98" s="580">
        <v>0</v>
      </c>
      <c r="AK98" s="580">
        <v>0</v>
      </c>
      <c r="AL98" s="592">
        <v>0</v>
      </c>
    </row>
    <row r="99" spans="1:38">
      <c r="B99" t="s">
        <v>14</v>
      </c>
      <c r="C99" s="580">
        <v>0</v>
      </c>
      <c r="D99" s="580">
        <v>0</v>
      </c>
      <c r="E99" s="580">
        <v>2136</v>
      </c>
      <c r="F99" s="580">
        <v>0</v>
      </c>
      <c r="G99" s="580">
        <v>0</v>
      </c>
      <c r="H99" s="580">
        <v>0</v>
      </c>
      <c r="I99" s="580">
        <v>0</v>
      </c>
      <c r="J99" s="580">
        <v>0</v>
      </c>
      <c r="K99" s="580">
        <v>0</v>
      </c>
      <c r="L99" s="580">
        <v>0</v>
      </c>
      <c r="M99" s="580">
        <v>0</v>
      </c>
      <c r="N99" s="592">
        <v>0</v>
      </c>
      <c r="O99" s="580">
        <v>0</v>
      </c>
      <c r="P99" s="580">
        <v>0</v>
      </c>
      <c r="Q99" s="580">
        <v>0</v>
      </c>
      <c r="R99" s="580">
        <v>0</v>
      </c>
      <c r="S99" s="580">
        <v>0</v>
      </c>
      <c r="T99" s="580">
        <v>0</v>
      </c>
      <c r="U99" s="580">
        <v>0</v>
      </c>
      <c r="V99" s="580">
        <v>0</v>
      </c>
      <c r="W99" s="580">
        <v>0</v>
      </c>
      <c r="X99" s="580">
        <v>0</v>
      </c>
      <c r="Y99" s="580">
        <v>0</v>
      </c>
      <c r="Z99" s="592">
        <v>0</v>
      </c>
      <c r="AA99" s="580">
        <v>0</v>
      </c>
      <c r="AB99" s="580">
        <v>0</v>
      </c>
      <c r="AC99" s="580">
        <v>2136</v>
      </c>
      <c r="AD99" s="580">
        <v>0</v>
      </c>
      <c r="AE99" s="580">
        <v>0</v>
      </c>
      <c r="AF99" s="580">
        <v>0</v>
      </c>
      <c r="AG99" s="580">
        <v>0</v>
      </c>
      <c r="AH99" s="580">
        <v>0</v>
      </c>
      <c r="AI99" s="580">
        <v>0</v>
      </c>
      <c r="AJ99" s="580">
        <v>0</v>
      </c>
      <c r="AK99" s="580">
        <v>0</v>
      </c>
      <c r="AL99" s="592">
        <v>0</v>
      </c>
    </row>
    <row r="100" spans="1:38">
      <c r="A100" s="104" t="s">
        <v>85</v>
      </c>
      <c r="B100" t="s">
        <v>3</v>
      </c>
      <c r="C100" s="580">
        <v>1109088.5599998999</v>
      </c>
      <c r="D100" s="580">
        <v>1643512</v>
      </c>
      <c r="E100" s="580">
        <v>2058374</v>
      </c>
      <c r="F100" s="580">
        <v>2691250</v>
      </c>
      <c r="G100" s="580">
        <v>3520503.5400000499</v>
      </c>
      <c r="H100" s="580">
        <v>4543084.9099993296</v>
      </c>
      <c r="I100" s="580">
        <v>6123898.9300009198</v>
      </c>
      <c r="J100" s="580">
        <v>7784936.93999964</v>
      </c>
      <c r="K100" s="580">
        <v>9834839.6700000297</v>
      </c>
      <c r="L100" s="580">
        <v>12540126.3400032</v>
      </c>
      <c r="M100" s="580">
        <v>16111302.270001801</v>
      </c>
      <c r="N100" s="592">
        <v>20824017.0299991</v>
      </c>
      <c r="O100" s="580">
        <v>181269.54999994001</v>
      </c>
      <c r="P100" s="580">
        <v>292564</v>
      </c>
      <c r="Q100" s="580">
        <v>401362</v>
      </c>
      <c r="R100" s="580">
        <v>596036</v>
      </c>
      <c r="S100" s="580">
        <v>946432.490000427</v>
      </c>
      <c r="T100" s="580">
        <v>1216715.24999978</v>
      </c>
      <c r="U100" s="580">
        <v>1545619.8700003801</v>
      </c>
      <c r="V100" s="580">
        <v>1935253.93999924</v>
      </c>
      <c r="W100" s="580">
        <v>2331996.5100001502</v>
      </c>
      <c r="X100" s="580">
        <v>2739212.7499989402</v>
      </c>
      <c r="Y100" s="580">
        <v>3396075.5900018299</v>
      </c>
      <c r="Z100" s="592">
        <v>4040663.03000153</v>
      </c>
      <c r="AA100" s="580">
        <v>1290358.1099998399</v>
      </c>
      <c r="AB100" s="580">
        <v>1936076</v>
      </c>
      <c r="AC100" s="580">
        <v>2459736</v>
      </c>
      <c r="AD100" s="580">
        <v>3287286</v>
      </c>
      <c r="AE100" s="580">
        <v>4466936.0300004696</v>
      </c>
      <c r="AF100" s="580">
        <v>5759800.1599991098</v>
      </c>
      <c r="AG100" s="580">
        <v>7669518.8000012999</v>
      </c>
      <c r="AH100" s="580">
        <v>9720190.8799988907</v>
      </c>
      <c r="AI100" s="580">
        <v>12166836.180000201</v>
      </c>
      <c r="AJ100" s="580">
        <v>15279339.090002101</v>
      </c>
      <c r="AK100" s="580">
        <v>19507377.860003699</v>
      </c>
      <c r="AL100" s="592">
        <v>24864680.060000598</v>
      </c>
    </row>
    <row r="101" spans="1:38">
      <c r="B101" t="s">
        <v>5</v>
      </c>
      <c r="C101" s="580">
        <v>286762.329999924</v>
      </c>
      <c r="D101" s="580">
        <v>415568</v>
      </c>
      <c r="E101" s="580">
        <v>548626</v>
      </c>
      <c r="F101" s="580">
        <v>812659</v>
      </c>
      <c r="G101" s="580">
        <v>1263659.4300003101</v>
      </c>
      <c r="H101" s="580">
        <v>1744122.48999977</v>
      </c>
      <c r="I101" s="580">
        <v>2475836.0400009202</v>
      </c>
      <c r="J101" s="580">
        <v>3384459.3499984699</v>
      </c>
      <c r="K101" s="580">
        <v>4442746.3600006104</v>
      </c>
      <c r="L101" s="580">
        <v>5859585.0500030499</v>
      </c>
      <c r="M101" s="580">
        <v>8465179.4900054894</v>
      </c>
      <c r="N101" s="592">
        <v>11315750.410003699</v>
      </c>
      <c r="O101" s="580">
        <v>169082.05999994301</v>
      </c>
      <c r="P101" s="580">
        <v>274829</v>
      </c>
      <c r="Q101" s="580">
        <v>383408</v>
      </c>
      <c r="R101" s="580">
        <v>575791</v>
      </c>
      <c r="S101" s="580">
        <v>927054.81000041997</v>
      </c>
      <c r="T101" s="580">
        <v>1195884.23999977</v>
      </c>
      <c r="U101" s="580">
        <v>1528065.8500003801</v>
      </c>
      <c r="V101" s="580">
        <v>1920224.7999992401</v>
      </c>
      <c r="W101" s="580">
        <v>2316929.5900001498</v>
      </c>
      <c r="X101" s="580">
        <v>2723790.36999893</v>
      </c>
      <c r="Y101" s="580">
        <v>3378572.8300018301</v>
      </c>
      <c r="Z101" s="592">
        <v>4020187.1500015301</v>
      </c>
      <c r="AA101" s="580">
        <v>455844.38999986602</v>
      </c>
      <c r="AB101" s="580">
        <v>690397</v>
      </c>
      <c r="AC101" s="580">
        <v>932034</v>
      </c>
      <c r="AD101" s="580">
        <v>1388450</v>
      </c>
      <c r="AE101" s="580">
        <v>2190714.2400007201</v>
      </c>
      <c r="AF101" s="580">
        <v>2940006.7299995399</v>
      </c>
      <c r="AG101" s="580">
        <v>4003901.8900012998</v>
      </c>
      <c r="AH101" s="580">
        <v>5304684.1499977103</v>
      </c>
      <c r="AI101" s="580">
        <v>6759675.9500007601</v>
      </c>
      <c r="AJ101" s="580">
        <v>8583375.4200019799</v>
      </c>
      <c r="AK101" s="580">
        <v>11843752.3200073</v>
      </c>
      <c r="AL101" s="592">
        <v>15335937.560005199</v>
      </c>
    </row>
    <row r="102" spans="1:38">
      <c r="B102" t="s">
        <v>6</v>
      </c>
      <c r="C102" s="580">
        <v>0</v>
      </c>
      <c r="D102" s="580">
        <v>240</v>
      </c>
      <c r="E102" s="580">
        <v>780</v>
      </c>
      <c r="F102" s="580">
        <v>0</v>
      </c>
      <c r="G102" s="580">
        <v>0</v>
      </c>
      <c r="H102" s="580">
        <v>0</v>
      </c>
      <c r="I102" s="580">
        <v>830</v>
      </c>
      <c r="J102" s="580">
        <v>930</v>
      </c>
      <c r="K102" s="580">
        <v>1530</v>
      </c>
      <c r="L102" s="580">
        <v>2725</v>
      </c>
      <c r="M102" s="580">
        <v>8708</v>
      </c>
      <c r="N102" s="592">
        <v>8136</v>
      </c>
      <c r="O102" s="580">
        <v>1200</v>
      </c>
      <c r="P102" s="580">
        <v>1440</v>
      </c>
      <c r="Q102" s="580">
        <v>1820</v>
      </c>
      <c r="R102" s="580">
        <v>1800</v>
      </c>
      <c r="S102" s="580">
        <v>2800</v>
      </c>
      <c r="T102" s="580">
        <v>4180</v>
      </c>
      <c r="U102" s="580">
        <v>1245</v>
      </c>
      <c r="V102" s="580">
        <v>1395</v>
      </c>
      <c r="W102" s="580">
        <v>1530</v>
      </c>
      <c r="X102" s="580">
        <v>1635</v>
      </c>
      <c r="Y102" s="580">
        <v>2488</v>
      </c>
      <c r="Z102" s="592">
        <v>3390</v>
      </c>
      <c r="AA102" s="580">
        <v>1200</v>
      </c>
      <c r="AB102" s="580">
        <v>1680</v>
      </c>
      <c r="AC102" s="580">
        <v>2600</v>
      </c>
      <c r="AD102" s="580">
        <v>1800</v>
      </c>
      <c r="AE102" s="580">
        <v>2800</v>
      </c>
      <c r="AF102" s="580">
        <v>4180</v>
      </c>
      <c r="AG102" s="580">
        <v>2075</v>
      </c>
      <c r="AH102" s="580">
        <v>2325</v>
      </c>
      <c r="AI102" s="580">
        <v>3060</v>
      </c>
      <c r="AJ102" s="580">
        <v>4360</v>
      </c>
      <c r="AK102" s="580">
        <v>11196</v>
      </c>
      <c r="AL102" s="592">
        <v>11526</v>
      </c>
    </row>
    <row r="103" spans="1:38">
      <c r="B103" t="s">
        <v>7</v>
      </c>
      <c r="C103" s="580">
        <v>392391.329999924</v>
      </c>
      <c r="D103" s="580">
        <v>586305</v>
      </c>
      <c r="E103" s="580">
        <v>722995</v>
      </c>
      <c r="F103" s="580">
        <v>982946</v>
      </c>
      <c r="G103" s="580">
        <v>1277289.3099994699</v>
      </c>
      <c r="H103" s="580">
        <v>1621890.70999908</v>
      </c>
      <c r="I103" s="580">
        <v>2153055.3400001498</v>
      </c>
      <c r="J103" s="580">
        <v>2656386.5400009202</v>
      </c>
      <c r="K103" s="580">
        <v>3365399.7099990798</v>
      </c>
      <c r="L103" s="580">
        <v>4233719.2099990798</v>
      </c>
      <c r="M103" s="580">
        <v>5252189.3399963398</v>
      </c>
      <c r="N103" s="592">
        <v>6780457.3399963398</v>
      </c>
      <c r="O103" s="580">
        <v>7197.0499999970198</v>
      </c>
      <c r="P103" s="580">
        <v>11301</v>
      </c>
      <c r="Q103" s="580">
        <v>12166</v>
      </c>
      <c r="R103" s="580">
        <v>14822</v>
      </c>
      <c r="S103" s="580">
        <v>14084.0400000066</v>
      </c>
      <c r="T103" s="580">
        <v>14075.0900000036</v>
      </c>
      <c r="U103" s="580">
        <v>14403.439999997599</v>
      </c>
      <c r="V103" s="580">
        <v>11615.760000005401</v>
      </c>
      <c r="W103" s="580">
        <v>12372.3599999994</v>
      </c>
      <c r="X103" s="580">
        <v>12547.4800000042</v>
      </c>
      <c r="Y103" s="580">
        <v>13699.4800000042</v>
      </c>
      <c r="Z103" s="592">
        <v>15689.060000002401</v>
      </c>
      <c r="AA103" s="580">
        <v>399588.37999992102</v>
      </c>
      <c r="AB103" s="580">
        <v>597606</v>
      </c>
      <c r="AC103" s="580">
        <v>735161</v>
      </c>
      <c r="AD103" s="580">
        <v>997768</v>
      </c>
      <c r="AE103" s="580">
        <v>1291373.3499994699</v>
      </c>
      <c r="AF103" s="580">
        <v>1635965.7999990899</v>
      </c>
      <c r="AG103" s="580">
        <v>2167458.7800001502</v>
      </c>
      <c r="AH103" s="580">
        <v>2668002.30000092</v>
      </c>
      <c r="AI103" s="580">
        <v>3377772.0699990802</v>
      </c>
      <c r="AJ103" s="580">
        <v>4246266.6899990896</v>
      </c>
      <c r="AK103" s="580">
        <v>5265888.8199963402</v>
      </c>
      <c r="AL103" s="592">
        <v>6796146.3999963403</v>
      </c>
    </row>
    <row r="104" spans="1:38">
      <c r="B104" t="s">
        <v>8</v>
      </c>
      <c r="C104" s="580">
        <v>242540.130000114</v>
      </c>
      <c r="D104" s="580">
        <v>352579</v>
      </c>
      <c r="E104" s="580">
        <v>449309</v>
      </c>
      <c r="F104" s="580">
        <v>608430</v>
      </c>
      <c r="G104" s="580">
        <v>743189.760000229</v>
      </c>
      <c r="H104" s="580">
        <v>974589.350000381</v>
      </c>
      <c r="I104" s="580">
        <v>1279172.57999992</v>
      </c>
      <c r="J104" s="580">
        <v>1643592.76000023</v>
      </c>
      <c r="K104" s="580">
        <v>1947947.9300003101</v>
      </c>
      <c r="L104" s="580">
        <v>2346181.38000107</v>
      </c>
      <c r="M104" s="580">
        <v>2353532.5</v>
      </c>
      <c r="N104" s="592">
        <v>2683066.9599990798</v>
      </c>
      <c r="O104" s="580">
        <v>3117.0700000002998</v>
      </c>
      <c r="P104" s="580">
        <v>4188</v>
      </c>
      <c r="Q104" s="580">
        <v>3125</v>
      </c>
      <c r="R104" s="580">
        <v>3623</v>
      </c>
      <c r="S104" s="580">
        <v>2493.6400000006001</v>
      </c>
      <c r="T104" s="580">
        <v>2575.92000000179</v>
      </c>
      <c r="U104" s="580">
        <v>1905.58000000007</v>
      </c>
      <c r="V104" s="580">
        <v>2018.38000000082</v>
      </c>
      <c r="W104" s="580">
        <v>1164.5600000005199</v>
      </c>
      <c r="X104" s="580">
        <v>1239.90000000037</v>
      </c>
      <c r="Y104" s="580">
        <v>1315.2799999993299</v>
      </c>
      <c r="Z104" s="592">
        <v>1396.8200000003001</v>
      </c>
      <c r="AA104" s="580">
        <v>245657.200000115</v>
      </c>
      <c r="AB104" s="580">
        <v>356767</v>
      </c>
      <c r="AC104" s="580">
        <v>452434</v>
      </c>
      <c r="AD104" s="580">
        <v>612053</v>
      </c>
      <c r="AE104" s="580">
        <v>745683.40000022901</v>
      </c>
      <c r="AF104" s="580">
        <v>977165.27000038303</v>
      </c>
      <c r="AG104" s="580">
        <v>1281078.1599999201</v>
      </c>
      <c r="AH104" s="580">
        <v>1645611.1400002299</v>
      </c>
      <c r="AI104" s="580">
        <v>1949112.4900003099</v>
      </c>
      <c r="AJ104" s="580">
        <v>2347421.2800010699</v>
      </c>
      <c r="AK104" s="580">
        <v>2354847.7799999998</v>
      </c>
      <c r="AL104" s="592">
        <v>2684463.7799990801</v>
      </c>
    </row>
    <row r="105" spans="1:38">
      <c r="B105" t="s">
        <v>9</v>
      </c>
      <c r="C105" s="580">
        <v>179127.56999993301</v>
      </c>
      <c r="D105" s="580">
        <v>272197</v>
      </c>
      <c r="E105" s="580">
        <v>323816</v>
      </c>
      <c r="F105" s="580">
        <v>285909</v>
      </c>
      <c r="G105" s="580">
        <v>234444.700000048</v>
      </c>
      <c r="H105" s="580">
        <v>200498.65000009499</v>
      </c>
      <c r="I105" s="580">
        <v>212922.079999924</v>
      </c>
      <c r="J105" s="580">
        <v>97362.100000023798</v>
      </c>
      <c r="K105" s="580">
        <v>72760.340000033393</v>
      </c>
      <c r="L105" s="580">
        <v>93172.120000004797</v>
      </c>
      <c r="M105" s="580">
        <v>29008.860000014301</v>
      </c>
      <c r="N105" s="592">
        <v>17307.560000002399</v>
      </c>
      <c r="O105" s="580">
        <v>673.37000000011199</v>
      </c>
      <c r="P105" s="580">
        <v>806</v>
      </c>
      <c r="Q105" s="580">
        <v>843</v>
      </c>
      <c r="R105" s="580">
        <v>0</v>
      </c>
      <c r="S105" s="580">
        <v>0</v>
      </c>
      <c r="T105" s="580">
        <v>0</v>
      </c>
      <c r="U105" s="580">
        <v>0</v>
      </c>
      <c r="V105" s="580">
        <v>0</v>
      </c>
      <c r="W105" s="580">
        <v>0</v>
      </c>
      <c r="X105" s="580">
        <v>0</v>
      </c>
      <c r="Y105" s="580">
        <v>0</v>
      </c>
      <c r="Z105" s="592">
        <v>0</v>
      </c>
      <c r="AA105" s="580">
        <v>179800.93999993301</v>
      </c>
      <c r="AB105" s="580">
        <v>273003</v>
      </c>
      <c r="AC105" s="580">
        <v>324659</v>
      </c>
      <c r="AD105" s="580">
        <v>285909</v>
      </c>
      <c r="AE105" s="580">
        <v>234444.700000048</v>
      </c>
      <c r="AF105" s="580">
        <v>200498.65000009499</v>
      </c>
      <c r="AG105" s="580">
        <v>212922.079999924</v>
      </c>
      <c r="AH105" s="580">
        <v>97362.100000023798</v>
      </c>
      <c r="AI105" s="580">
        <v>72760.340000033393</v>
      </c>
      <c r="AJ105" s="580">
        <v>93172.120000004797</v>
      </c>
      <c r="AK105" s="580">
        <v>29008.860000014301</v>
      </c>
      <c r="AL105" s="592">
        <v>17307.560000002399</v>
      </c>
    </row>
    <row r="106" spans="1:38">
      <c r="B106" t="s">
        <v>10</v>
      </c>
      <c r="C106" s="580">
        <v>7246.8100000023796</v>
      </c>
      <c r="D106" s="580">
        <v>16623</v>
      </c>
      <c r="E106" s="580">
        <v>12848</v>
      </c>
      <c r="F106" s="580">
        <v>1306</v>
      </c>
      <c r="G106" s="580">
        <v>0</v>
      </c>
      <c r="H106" s="580">
        <v>0</v>
      </c>
      <c r="I106" s="580">
        <v>0</v>
      </c>
      <c r="J106" s="580">
        <v>2206.1900000013402</v>
      </c>
      <c r="K106" s="580">
        <v>4455.32999999821</v>
      </c>
      <c r="L106" s="580">
        <v>4743.57999999821</v>
      </c>
      <c r="M106" s="580">
        <v>2684.07999999821</v>
      </c>
      <c r="N106" s="592">
        <v>8779.17000000179</v>
      </c>
      <c r="O106" s="580">
        <v>0</v>
      </c>
      <c r="P106" s="580">
        <v>0</v>
      </c>
      <c r="Q106" s="580">
        <v>0</v>
      </c>
      <c r="R106" s="580">
        <v>0</v>
      </c>
      <c r="S106" s="580">
        <v>0</v>
      </c>
      <c r="T106" s="580">
        <v>0</v>
      </c>
      <c r="U106" s="580">
        <v>0</v>
      </c>
      <c r="V106" s="580">
        <v>0</v>
      </c>
      <c r="W106" s="580">
        <v>0</v>
      </c>
      <c r="X106" s="580">
        <v>0</v>
      </c>
      <c r="Y106" s="580">
        <v>0</v>
      </c>
      <c r="Z106" s="592">
        <v>0</v>
      </c>
      <c r="AA106" s="580">
        <v>7246.8100000023796</v>
      </c>
      <c r="AB106" s="580">
        <v>16623</v>
      </c>
      <c r="AC106" s="580">
        <v>12848</v>
      </c>
      <c r="AD106" s="580">
        <v>1306</v>
      </c>
      <c r="AE106" s="580">
        <v>0</v>
      </c>
      <c r="AF106" s="580">
        <v>0</v>
      </c>
      <c r="AG106" s="580">
        <v>0</v>
      </c>
      <c r="AH106" s="580">
        <v>2206.1900000013402</v>
      </c>
      <c r="AI106" s="580">
        <v>4455.32999999821</v>
      </c>
      <c r="AJ106" s="580">
        <v>4743.57999999821</v>
      </c>
      <c r="AK106" s="580">
        <v>2684.07999999821</v>
      </c>
      <c r="AL106" s="592">
        <v>8779.17000000179</v>
      </c>
    </row>
    <row r="107" spans="1:38">
      <c r="B107" t="s">
        <v>11</v>
      </c>
      <c r="C107" s="580">
        <v>1020.3899999996599</v>
      </c>
      <c r="D107" s="580">
        <v>0</v>
      </c>
      <c r="E107" s="580">
        <v>0</v>
      </c>
      <c r="F107" s="580">
        <v>0</v>
      </c>
      <c r="G107" s="580">
        <v>1920.3399999998501</v>
      </c>
      <c r="H107" s="580">
        <v>1983.71000000089</v>
      </c>
      <c r="I107" s="580">
        <v>2082.8900000006001</v>
      </c>
      <c r="J107" s="580">
        <v>0</v>
      </c>
      <c r="K107" s="580">
        <v>0</v>
      </c>
      <c r="L107" s="580">
        <v>0</v>
      </c>
      <c r="M107" s="580">
        <v>0</v>
      </c>
      <c r="N107" s="592">
        <v>10519.5900000036</v>
      </c>
      <c r="O107" s="580">
        <v>0</v>
      </c>
      <c r="P107" s="580">
        <v>0</v>
      </c>
      <c r="Q107" s="580">
        <v>0</v>
      </c>
      <c r="R107" s="580">
        <v>0</v>
      </c>
      <c r="S107" s="580">
        <v>0</v>
      </c>
      <c r="T107" s="580">
        <v>0</v>
      </c>
      <c r="U107" s="580">
        <v>0</v>
      </c>
      <c r="V107" s="580">
        <v>0</v>
      </c>
      <c r="W107" s="580">
        <v>0</v>
      </c>
      <c r="X107" s="580">
        <v>0</v>
      </c>
      <c r="Y107" s="580">
        <v>0</v>
      </c>
      <c r="Z107" s="592">
        <v>0</v>
      </c>
      <c r="AA107" s="580">
        <v>1020.3899999996599</v>
      </c>
      <c r="AB107" s="580">
        <v>0</v>
      </c>
      <c r="AC107" s="580">
        <v>0</v>
      </c>
      <c r="AD107" s="580">
        <v>0</v>
      </c>
      <c r="AE107" s="580">
        <v>1920.3399999998501</v>
      </c>
      <c r="AF107" s="580">
        <v>1983.71000000089</v>
      </c>
      <c r="AG107" s="580">
        <v>2082.8900000006001</v>
      </c>
      <c r="AH107" s="580">
        <v>0</v>
      </c>
      <c r="AI107" s="580">
        <v>0</v>
      </c>
      <c r="AJ107" s="580">
        <v>0</v>
      </c>
      <c r="AK107" s="580">
        <v>0</v>
      </c>
      <c r="AL107" s="592">
        <v>10519.5900000036</v>
      </c>
    </row>
    <row r="108" spans="1:38">
      <c r="A108" t="s">
        <v>74</v>
      </c>
      <c r="B108" t="s">
        <v>3</v>
      </c>
      <c r="C108" s="580">
        <v>58893519.350023299</v>
      </c>
      <c r="D108" s="580">
        <v>16702067</v>
      </c>
      <c r="E108" s="580">
        <v>11073897</v>
      </c>
      <c r="F108" s="580">
        <v>10046851</v>
      </c>
      <c r="G108" s="580">
        <v>11745273.960000999</v>
      </c>
      <c r="H108" s="580">
        <v>15650902.580000499</v>
      </c>
      <c r="I108" s="580">
        <v>20971713.820004299</v>
      </c>
      <c r="J108" s="580">
        <v>32140378.840002201</v>
      </c>
      <c r="K108" s="580">
        <v>36761117.490001097</v>
      </c>
      <c r="L108" s="580">
        <v>42169495.120001398</v>
      </c>
      <c r="M108" s="580">
        <v>53965062.420014501</v>
      </c>
      <c r="N108" s="592">
        <v>60517122.009997897</v>
      </c>
      <c r="O108" s="580">
        <v>4933451.0799999703</v>
      </c>
      <c r="P108" s="580">
        <v>4864762</v>
      </c>
      <c r="Q108" s="580">
        <v>5006177</v>
      </c>
      <c r="R108" s="580">
        <v>4682475</v>
      </c>
      <c r="S108" s="580">
        <v>5211850</v>
      </c>
      <c r="T108" s="580">
        <v>5156570.7300000004</v>
      </c>
      <c r="U108" s="580">
        <v>6672296.1299999999</v>
      </c>
      <c r="V108" s="580">
        <v>8265776.9899999797</v>
      </c>
      <c r="W108" s="580">
        <v>8448293.97000001</v>
      </c>
      <c r="X108" s="580">
        <v>7646413.4099999797</v>
      </c>
      <c r="Y108" s="580">
        <v>8627781.1800000202</v>
      </c>
      <c r="Z108" s="592">
        <v>10104371.49</v>
      </c>
      <c r="AA108" s="580">
        <v>63826970.430023201</v>
      </c>
      <c r="AB108" s="580">
        <v>21566829</v>
      </c>
      <c r="AC108" s="580">
        <v>16080074</v>
      </c>
      <c r="AD108" s="580">
        <v>14729326</v>
      </c>
      <c r="AE108" s="580">
        <v>16957123.960000999</v>
      </c>
      <c r="AF108" s="580">
        <v>20807473.310000502</v>
      </c>
      <c r="AG108" s="580">
        <v>27644009.950004298</v>
      </c>
      <c r="AH108" s="580">
        <v>40406155.830002204</v>
      </c>
      <c r="AI108" s="580">
        <v>45209411.460001104</v>
      </c>
      <c r="AJ108" s="580">
        <v>49815908.530001402</v>
      </c>
      <c r="AK108" s="580">
        <v>62592843.6000145</v>
      </c>
      <c r="AL108" s="592">
        <v>70621493.499997899</v>
      </c>
    </row>
    <row r="109" spans="1:38">
      <c r="B109" t="s">
        <v>5</v>
      </c>
      <c r="C109" s="580">
        <v>0</v>
      </c>
      <c r="D109" s="580">
        <v>0</v>
      </c>
      <c r="E109" s="580">
        <v>0</v>
      </c>
      <c r="F109" s="580">
        <v>0</v>
      </c>
      <c r="G109" s="580">
        <v>0</v>
      </c>
      <c r="H109" s="580">
        <v>0</v>
      </c>
      <c r="I109" s="580">
        <v>0</v>
      </c>
      <c r="J109" s="580">
        <v>0</v>
      </c>
      <c r="K109" s="580">
        <v>0</v>
      </c>
      <c r="L109" s="580">
        <v>0</v>
      </c>
      <c r="M109" s="580">
        <v>0</v>
      </c>
      <c r="N109" s="592">
        <v>151.459999999963</v>
      </c>
      <c r="O109" s="580">
        <v>0</v>
      </c>
      <c r="P109" s="580">
        <v>0</v>
      </c>
      <c r="Q109" s="580">
        <v>0</v>
      </c>
      <c r="R109" s="580">
        <v>0</v>
      </c>
      <c r="S109" s="580">
        <v>0</v>
      </c>
      <c r="T109" s="580">
        <v>0</v>
      </c>
      <c r="U109" s="580">
        <v>0</v>
      </c>
      <c r="V109" s="580">
        <v>0</v>
      </c>
      <c r="W109" s="580">
        <v>0</v>
      </c>
      <c r="X109" s="580">
        <v>0</v>
      </c>
      <c r="Y109" s="580">
        <v>0</v>
      </c>
      <c r="Z109" s="592">
        <v>0</v>
      </c>
      <c r="AA109" s="580">
        <v>0</v>
      </c>
      <c r="AB109" s="580">
        <v>0</v>
      </c>
      <c r="AC109" s="580">
        <v>0</v>
      </c>
      <c r="AD109" s="580">
        <v>0</v>
      </c>
      <c r="AE109" s="580">
        <v>0</v>
      </c>
      <c r="AF109" s="580">
        <v>0</v>
      </c>
      <c r="AG109" s="580">
        <v>0</v>
      </c>
      <c r="AH109" s="580">
        <v>0</v>
      </c>
      <c r="AI109" s="580">
        <v>0</v>
      </c>
      <c r="AJ109" s="580">
        <v>0</v>
      </c>
      <c r="AK109" s="580">
        <v>0</v>
      </c>
      <c r="AL109" s="592">
        <v>151.459999999963</v>
      </c>
    </row>
    <row r="110" spans="1:38">
      <c r="B110" t="s">
        <v>6</v>
      </c>
      <c r="C110" s="580">
        <v>4287000</v>
      </c>
      <c r="D110" s="580">
        <v>4314480</v>
      </c>
      <c r="E110" s="580">
        <v>4923360</v>
      </c>
      <c r="F110" s="580">
        <v>4894200</v>
      </c>
      <c r="G110" s="580">
        <v>6069350</v>
      </c>
      <c r="H110" s="580">
        <v>7286500</v>
      </c>
      <c r="I110" s="580">
        <v>9477770</v>
      </c>
      <c r="J110" s="580">
        <v>15462645</v>
      </c>
      <c r="K110" s="580">
        <v>17855100</v>
      </c>
      <c r="L110" s="580">
        <v>16936420</v>
      </c>
      <c r="M110" s="580">
        <v>26870400</v>
      </c>
      <c r="N110" s="592">
        <v>39833178</v>
      </c>
      <c r="O110" s="580">
        <v>4847800</v>
      </c>
      <c r="P110" s="580">
        <v>4850880</v>
      </c>
      <c r="Q110" s="580">
        <v>4998760</v>
      </c>
      <c r="R110" s="580">
        <v>4682100</v>
      </c>
      <c r="S110" s="580">
        <v>5211850</v>
      </c>
      <c r="T110" s="580">
        <v>5147100</v>
      </c>
      <c r="U110" s="580">
        <v>6654110</v>
      </c>
      <c r="V110" s="580">
        <v>8228640</v>
      </c>
      <c r="W110" s="580">
        <v>8419080</v>
      </c>
      <c r="X110" s="580">
        <v>7607655</v>
      </c>
      <c r="Y110" s="580">
        <v>8586710</v>
      </c>
      <c r="Z110" s="592">
        <v>10098132</v>
      </c>
      <c r="AA110" s="580">
        <v>9134800</v>
      </c>
      <c r="AB110" s="580">
        <v>9165360</v>
      </c>
      <c r="AC110" s="580">
        <v>9922120</v>
      </c>
      <c r="AD110" s="580">
        <v>9576300</v>
      </c>
      <c r="AE110" s="580">
        <v>11281200</v>
      </c>
      <c r="AF110" s="580">
        <v>12433600</v>
      </c>
      <c r="AG110" s="580">
        <v>16131880</v>
      </c>
      <c r="AH110" s="580">
        <v>23691285</v>
      </c>
      <c r="AI110" s="580">
        <v>26274180</v>
      </c>
      <c r="AJ110" s="580">
        <v>24544075</v>
      </c>
      <c r="AK110" s="580">
        <v>35457110</v>
      </c>
      <c r="AL110" s="592">
        <v>49931310</v>
      </c>
    </row>
    <row r="111" spans="1:38">
      <c r="B111" t="s">
        <v>7</v>
      </c>
      <c r="C111" s="580">
        <v>15809079.3800049</v>
      </c>
      <c r="D111" s="580">
        <v>4770798</v>
      </c>
      <c r="E111" s="580">
        <v>3473448</v>
      </c>
      <c r="F111" s="580">
        <v>2662937</v>
      </c>
      <c r="G111" s="580">
        <v>3146982.06000137</v>
      </c>
      <c r="H111" s="580">
        <v>4674656.8300018301</v>
      </c>
      <c r="I111" s="580">
        <v>6832922.2300033597</v>
      </c>
      <c r="J111" s="580">
        <v>9825802.7200012207</v>
      </c>
      <c r="K111" s="580">
        <v>11308116.9400024</v>
      </c>
      <c r="L111" s="580">
        <v>16508447.75</v>
      </c>
      <c r="M111" s="580">
        <v>17029151.8900146</v>
      </c>
      <c r="N111" s="592">
        <v>11995245.419998201</v>
      </c>
      <c r="O111" s="580">
        <v>80799.279999971404</v>
      </c>
      <c r="P111" s="580">
        <v>10771</v>
      </c>
      <c r="Q111" s="580">
        <v>7417</v>
      </c>
      <c r="R111" s="580">
        <v>375</v>
      </c>
      <c r="S111" s="580">
        <v>0</v>
      </c>
      <c r="T111" s="580">
        <v>9470.7300000041705</v>
      </c>
      <c r="U111" s="580">
        <v>15363.7300000042</v>
      </c>
      <c r="V111" s="580">
        <v>34724.519999980897</v>
      </c>
      <c r="W111" s="580">
        <v>26928.860000014301</v>
      </c>
      <c r="X111" s="580">
        <v>36309.519999980897</v>
      </c>
      <c r="Y111" s="580">
        <v>39638.850000023798</v>
      </c>
      <c r="Z111" s="592">
        <v>6239.4900000020898</v>
      </c>
      <c r="AA111" s="580">
        <v>15889878.660004901</v>
      </c>
      <c r="AB111" s="580">
        <v>4781569</v>
      </c>
      <c r="AC111" s="580">
        <v>3480865</v>
      </c>
      <c r="AD111" s="580">
        <v>2663312</v>
      </c>
      <c r="AE111" s="580">
        <v>3146982.06000137</v>
      </c>
      <c r="AF111" s="580">
        <v>4684127.5600018399</v>
      </c>
      <c r="AG111" s="580">
        <v>6848285.9600033602</v>
      </c>
      <c r="AH111" s="580">
        <v>9860527.2400011998</v>
      </c>
      <c r="AI111" s="580">
        <v>11335045.8000025</v>
      </c>
      <c r="AJ111" s="580">
        <v>16544757.27</v>
      </c>
      <c r="AK111" s="580">
        <v>17068790.740014698</v>
      </c>
      <c r="AL111" s="592">
        <v>12001484.909998201</v>
      </c>
    </row>
    <row r="112" spans="1:38">
      <c r="B112" t="s">
        <v>8</v>
      </c>
      <c r="C112" s="580">
        <v>9580397.6000060998</v>
      </c>
      <c r="D112" s="580">
        <v>1990627</v>
      </c>
      <c r="E112" s="580">
        <v>906947</v>
      </c>
      <c r="F112" s="580">
        <v>685651</v>
      </c>
      <c r="G112" s="580">
        <v>777187.21000003803</v>
      </c>
      <c r="H112" s="580">
        <v>1160061.70999908</v>
      </c>
      <c r="I112" s="580">
        <v>1597707.6800003101</v>
      </c>
      <c r="J112" s="580">
        <v>2359491.6100006099</v>
      </c>
      <c r="K112" s="580">
        <v>2735021.1699981699</v>
      </c>
      <c r="L112" s="580">
        <v>3515779.7400016799</v>
      </c>
      <c r="M112" s="580">
        <v>3987745.88000107</v>
      </c>
      <c r="N112" s="592">
        <v>3135090.2299995399</v>
      </c>
      <c r="O112" s="580">
        <v>4099.9699999988097</v>
      </c>
      <c r="P112" s="580">
        <v>1861</v>
      </c>
      <c r="Q112" s="580">
        <v>0</v>
      </c>
      <c r="R112" s="580">
        <v>0</v>
      </c>
      <c r="S112" s="580">
        <v>0</v>
      </c>
      <c r="T112" s="580">
        <v>0</v>
      </c>
      <c r="U112" s="580">
        <v>2822.3999999985099</v>
      </c>
      <c r="V112" s="580">
        <v>2412.4699999988102</v>
      </c>
      <c r="W112" s="580">
        <v>2285.1099999993999</v>
      </c>
      <c r="X112" s="580">
        <v>2448.8900000006001</v>
      </c>
      <c r="Y112" s="580">
        <v>1432.33000000007</v>
      </c>
      <c r="Z112" s="592">
        <v>0</v>
      </c>
      <c r="AA112" s="580">
        <v>9584497.5700061005</v>
      </c>
      <c r="AB112" s="580">
        <v>1992488</v>
      </c>
      <c r="AC112" s="580">
        <v>906947</v>
      </c>
      <c r="AD112" s="580">
        <v>685651</v>
      </c>
      <c r="AE112" s="580">
        <v>777187.21000003803</v>
      </c>
      <c r="AF112" s="580">
        <v>1160061.70999908</v>
      </c>
      <c r="AG112" s="580">
        <v>1600530.0800003</v>
      </c>
      <c r="AH112" s="580">
        <v>2361904.0800006101</v>
      </c>
      <c r="AI112" s="580">
        <v>2737306.2799981702</v>
      </c>
      <c r="AJ112" s="580">
        <v>3518228.63000168</v>
      </c>
      <c r="AK112" s="580">
        <v>3989178.2100010701</v>
      </c>
      <c r="AL112" s="592">
        <v>3135090.2299995399</v>
      </c>
    </row>
    <row r="113" spans="1:38">
      <c r="B113" t="s">
        <v>9</v>
      </c>
      <c r="C113" s="580">
        <v>4940929.3700027503</v>
      </c>
      <c r="D113" s="580">
        <v>1118842</v>
      </c>
      <c r="E113" s="580">
        <v>440554</v>
      </c>
      <c r="F113" s="580">
        <v>414620</v>
      </c>
      <c r="G113" s="580">
        <v>400071.739999771</v>
      </c>
      <c r="H113" s="580">
        <v>665515.27999973297</v>
      </c>
      <c r="I113" s="580">
        <v>890686.89000034297</v>
      </c>
      <c r="J113" s="580">
        <v>1367918.07999992</v>
      </c>
      <c r="K113" s="580">
        <v>1483838.51000023</v>
      </c>
      <c r="L113" s="580">
        <v>1684695.4300003101</v>
      </c>
      <c r="M113" s="580">
        <v>2060460.48999977</v>
      </c>
      <c r="N113" s="592">
        <v>1832186.9300003101</v>
      </c>
      <c r="O113" s="580">
        <v>751.83000000007496</v>
      </c>
      <c r="P113" s="580">
        <v>0</v>
      </c>
      <c r="Q113" s="580">
        <v>0</v>
      </c>
      <c r="R113" s="580">
        <v>0</v>
      </c>
      <c r="S113" s="580">
        <v>0</v>
      </c>
      <c r="T113" s="580">
        <v>0</v>
      </c>
      <c r="U113" s="580">
        <v>0</v>
      </c>
      <c r="V113" s="580">
        <v>0</v>
      </c>
      <c r="W113" s="580">
        <v>0</v>
      </c>
      <c r="X113" s="580">
        <v>0</v>
      </c>
      <c r="Y113" s="580">
        <v>0</v>
      </c>
      <c r="Z113" s="592">
        <v>0</v>
      </c>
      <c r="AA113" s="580">
        <v>4941681.2000027504</v>
      </c>
      <c r="AB113" s="580">
        <v>1118842</v>
      </c>
      <c r="AC113" s="580">
        <v>440554</v>
      </c>
      <c r="AD113" s="580">
        <v>414620</v>
      </c>
      <c r="AE113" s="580">
        <v>400071.739999771</v>
      </c>
      <c r="AF113" s="580">
        <v>665515.27999973297</v>
      </c>
      <c r="AG113" s="580">
        <v>890686.89000034297</v>
      </c>
      <c r="AH113" s="580">
        <v>1367918.07999992</v>
      </c>
      <c r="AI113" s="580">
        <v>1483838.51000023</v>
      </c>
      <c r="AJ113" s="580">
        <v>1684695.4300003101</v>
      </c>
      <c r="AK113" s="580">
        <v>2060460.48999977</v>
      </c>
      <c r="AL113" s="592">
        <v>1832186.9300003101</v>
      </c>
    </row>
    <row r="114" spans="1:38">
      <c r="B114" t="s">
        <v>10</v>
      </c>
      <c r="C114" s="580">
        <v>3625519.6800003098</v>
      </c>
      <c r="D114" s="580">
        <v>838044</v>
      </c>
      <c r="E114" s="580">
        <v>294200</v>
      </c>
      <c r="F114" s="580">
        <v>293372</v>
      </c>
      <c r="G114" s="580">
        <v>324723.94999980897</v>
      </c>
      <c r="H114" s="580">
        <v>444355.53999996203</v>
      </c>
      <c r="I114" s="580">
        <v>521721.340000153</v>
      </c>
      <c r="J114" s="580">
        <v>873896.82999992406</v>
      </c>
      <c r="K114" s="580">
        <v>977620.729999542</v>
      </c>
      <c r="L114" s="580">
        <v>1048385.4300003099</v>
      </c>
      <c r="M114" s="580">
        <v>1503762.9799995399</v>
      </c>
      <c r="N114" s="592">
        <v>1174906.17000008</v>
      </c>
      <c r="O114" s="580">
        <v>0</v>
      </c>
      <c r="P114" s="580">
        <v>0</v>
      </c>
      <c r="Q114" s="580">
        <v>0</v>
      </c>
      <c r="R114" s="580">
        <v>0</v>
      </c>
      <c r="S114" s="580">
        <v>0</v>
      </c>
      <c r="T114" s="580">
        <v>0</v>
      </c>
      <c r="U114" s="580">
        <v>0</v>
      </c>
      <c r="V114" s="580">
        <v>0</v>
      </c>
      <c r="W114" s="580">
        <v>0</v>
      </c>
      <c r="X114" s="580">
        <v>0</v>
      </c>
      <c r="Y114" s="580">
        <v>0</v>
      </c>
      <c r="Z114" s="592">
        <v>0</v>
      </c>
      <c r="AA114" s="580">
        <v>3625519.6800003098</v>
      </c>
      <c r="AB114" s="580">
        <v>838044</v>
      </c>
      <c r="AC114" s="580">
        <v>294200</v>
      </c>
      <c r="AD114" s="580">
        <v>293372</v>
      </c>
      <c r="AE114" s="580">
        <v>324723.94999980897</v>
      </c>
      <c r="AF114" s="580">
        <v>444355.53999996203</v>
      </c>
      <c r="AG114" s="580">
        <v>521721.340000153</v>
      </c>
      <c r="AH114" s="580">
        <v>873896.82999992406</v>
      </c>
      <c r="AI114" s="580">
        <v>977620.729999542</v>
      </c>
      <c r="AJ114" s="580">
        <v>1048385.4300003099</v>
      </c>
      <c r="AK114" s="580">
        <v>1503762.9799995399</v>
      </c>
      <c r="AL114" s="592">
        <v>1174906.17000008</v>
      </c>
    </row>
    <row r="115" spans="1:38">
      <c r="B115" t="s">
        <v>11</v>
      </c>
      <c r="C115" s="580">
        <v>2780373.2799987802</v>
      </c>
      <c r="D115" s="580">
        <v>581504</v>
      </c>
      <c r="E115" s="580">
        <v>227363</v>
      </c>
      <c r="F115" s="580">
        <v>214434</v>
      </c>
      <c r="G115" s="580">
        <v>242590.69000005699</v>
      </c>
      <c r="H115" s="580">
        <v>330952.590000153</v>
      </c>
      <c r="I115" s="580">
        <v>465028.96000003797</v>
      </c>
      <c r="J115" s="580">
        <v>694384.649999619</v>
      </c>
      <c r="K115" s="580">
        <v>865506.78999996197</v>
      </c>
      <c r="L115" s="580">
        <v>862289.07999992406</v>
      </c>
      <c r="M115" s="580">
        <v>1077799.48999977</v>
      </c>
      <c r="N115" s="592">
        <v>1168907.0599994699</v>
      </c>
      <c r="O115" s="580">
        <v>0</v>
      </c>
      <c r="P115" s="580">
        <v>1250</v>
      </c>
      <c r="Q115" s="580">
        <v>0</v>
      </c>
      <c r="R115" s="580">
        <v>0</v>
      </c>
      <c r="S115" s="580">
        <v>0</v>
      </c>
      <c r="T115" s="580">
        <v>0</v>
      </c>
      <c r="U115" s="580">
        <v>0</v>
      </c>
      <c r="V115" s="580">
        <v>0</v>
      </c>
      <c r="W115" s="580">
        <v>0</v>
      </c>
      <c r="X115" s="580">
        <v>0</v>
      </c>
      <c r="Y115" s="580">
        <v>0</v>
      </c>
      <c r="Z115" s="592">
        <v>0</v>
      </c>
      <c r="AA115" s="580">
        <v>2780373.2799987802</v>
      </c>
      <c r="AB115" s="580">
        <v>582754</v>
      </c>
      <c r="AC115" s="580">
        <v>227363</v>
      </c>
      <c r="AD115" s="580">
        <v>214434</v>
      </c>
      <c r="AE115" s="580">
        <v>242590.69000005699</v>
      </c>
      <c r="AF115" s="580">
        <v>330952.590000153</v>
      </c>
      <c r="AG115" s="580">
        <v>465028.96000003797</v>
      </c>
      <c r="AH115" s="580">
        <v>694384.649999619</v>
      </c>
      <c r="AI115" s="580">
        <v>865506.78999996197</v>
      </c>
      <c r="AJ115" s="580">
        <v>862289.07999992406</v>
      </c>
      <c r="AK115" s="580">
        <v>1077799.48999977</v>
      </c>
      <c r="AL115" s="592">
        <v>1168907.0599994699</v>
      </c>
    </row>
    <row r="116" spans="1:38">
      <c r="B116" t="s">
        <v>12</v>
      </c>
      <c r="C116" s="580">
        <v>2215428.6599998502</v>
      </c>
      <c r="D116" s="580">
        <v>561854</v>
      </c>
      <c r="E116" s="580">
        <v>184158</v>
      </c>
      <c r="F116" s="580">
        <v>183816</v>
      </c>
      <c r="G116" s="580">
        <v>201877.09999990501</v>
      </c>
      <c r="H116" s="580">
        <v>344930.82000017201</v>
      </c>
      <c r="I116" s="580">
        <v>454223.05999994301</v>
      </c>
      <c r="J116" s="580">
        <v>1350796.29000092</v>
      </c>
      <c r="K116" s="580">
        <v>1380364.4500007599</v>
      </c>
      <c r="L116" s="580">
        <v>1435985.0499992401</v>
      </c>
      <c r="M116" s="580">
        <v>1277031.1499996199</v>
      </c>
      <c r="N116" s="592">
        <v>1069096.6000003801</v>
      </c>
      <c r="O116" s="580">
        <v>0</v>
      </c>
      <c r="P116" s="580">
        <v>0</v>
      </c>
      <c r="Q116" s="580">
        <v>0</v>
      </c>
      <c r="R116" s="580">
        <v>0</v>
      </c>
      <c r="S116" s="580">
        <v>0</v>
      </c>
      <c r="T116" s="580">
        <v>0</v>
      </c>
      <c r="U116" s="580">
        <v>0</v>
      </c>
      <c r="V116" s="580">
        <v>0</v>
      </c>
      <c r="W116" s="580">
        <v>0</v>
      </c>
      <c r="X116" s="580">
        <v>0</v>
      </c>
      <c r="Y116" s="580">
        <v>0</v>
      </c>
      <c r="Z116" s="592">
        <v>0</v>
      </c>
      <c r="AA116" s="580">
        <v>2215428.6599998502</v>
      </c>
      <c r="AB116" s="580">
        <v>561854</v>
      </c>
      <c r="AC116" s="580">
        <v>184158</v>
      </c>
      <c r="AD116" s="580">
        <v>183816</v>
      </c>
      <c r="AE116" s="580">
        <v>201877.09999990501</v>
      </c>
      <c r="AF116" s="580">
        <v>344930.82000017201</v>
      </c>
      <c r="AG116" s="580">
        <v>454223.05999994301</v>
      </c>
      <c r="AH116" s="580">
        <v>1350796.29000092</v>
      </c>
      <c r="AI116" s="580">
        <v>1380364.4500007599</v>
      </c>
      <c r="AJ116" s="580">
        <v>1435985.0499992401</v>
      </c>
      <c r="AK116" s="580">
        <v>1277031.1499996199</v>
      </c>
      <c r="AL116" s="592">
        <v>1069096.6000003801</v>
      </c>
    </row>
    <row r="117" spans="1:38">
      <c r="B117" t="s">
        <v>13</v>
      </c>
      <c r="C117" s="580">
        <v>2047925.20999908</v>
      </c>
      <c r="D117" s="580">
        <v>341192</v>
      </c>
      <c r="E117" s="580">
        <v>180082</v>
      </c>
      <c r="F117" s="580">
        <v>165671</v>
      </c>
      <c r="G117" s="580">
        <v>496272.40000009502</v>
      </c>
      <c r="H117" s="580">
        <v>632304.43999958003</v>
      </c>
      <c r="I117" s="580">
        <v>588112.59000015305</v>
      </c>
      <c r="J117" s="580">
        <v>17452.849999994</v>
      </c>
      <c r="K117" s="580">
        <v>3754.6099999993999</v>
      </c>
      <c r="L117" s="580">
        <v>19845.360000014301</v>
      </c>
      <c r="M117" s="580">
        <v>23081.219999998801</v>
      </c>
      <c r="N117" s="592">
        <v>25728.590000003602</v>
      </c>
      <c r="O117" s="580">
        <v>0</v>
      </c>
      <c r="P117" s="580">
        <v>0</v>
      </c>
      <c r="Q117" s="580">
        <v>0</v>
      </c>
      <c r="R117" s="580">
        <v>0</v>
      </c>
      <c r="S117" s="580">
        <v>0</v>
      </c>
      <c r="T117" s="580">
        <v>0</v>
      </c>
      <c r="U117" s="580">
        <v>0</v>
      </c>
      <c r="V117" s="580">
        <v>0</v>
      </c>
      <c r="W117" s="580">
        <v>0</v>
      </c>
      <c r="X117" s="580">
        <v>0</v>
      </c>
      <c r="Y117" s="580">
        <v>0</v>
      </c>
      <c r="Z117" s="592">
        <v>0</v>
      </c>
      <c r="AA117" s="580">
        <v>2047925.20999908</v>
      </c>
      <c r="AB117" s="580">
        <v>341192</v>
      </c>
      <c r="AC117" s="580">
        <v>180082</v>
      </c>
      <c r="AD117" s="580">
        <v>165671</v>
      </c>
      <c r="AE117" s="580">
        <v>496272.40000009502</v>
      </c>
      <c r="AF117" s="580">
        <v>632304.43999958003</v>
      </c>
      <c r="AG117" s="580">
        <v>588112.59000015305</v>
      </c>
      <c r="AH117" s="580">
        <v>17452.849999994</v>
      </c>
      <c r="AI117" s="580">
        <v>3754.6099999993999</v>
      </c>
      <c r="AJ117" s="580">
        <v>19845.360000014301</v>
      </c>
      <c r="AK117" s="580">
        <v>23081.219999998801</v>
      </c>
      <c r="AL117" s="592">
        <v>25728.590000003602</v>
      </c>
    </row>
    <row r="118" spans="1:38">
      <c r="B118" t="s">
        <v>14</v>
      </c>
      <c r="C118" s="580">
        <v>1396573.73999977</v>
      </c>
      <c r="D118" s="580">
        <v>278764</v>
      </c>
      <c r="E118" s="580">
        <v>272268</v>
      </c>
      <c r="F118" s="580">
        <v>420653</v>
      </c>
      <c r="G118" s="580">
        <v>17031.8199999928</v>
      </c>
      <c r="H118" s="580">
        <v>9842.1800000071507</v>
      </c>
      <c r="I118" s="580">
        <v>3389.4100000001499</v>
      </c>
      <c r="J118" s="580">
        <v>20064.830000013098</v>
      </c>
      <c r="K118" s="580">
        <v>29918.0200000107</v>
      </c>
      <c r="L118" s="580">
        <v>9239.0300000011903</v>
      </c>
      <c r="M118" s="580">
        <v>10080.200000003</v>
      </c>
      <c r="N118" s="592">
        <v>17433.539999991699</v>
      </c>
      <c r="O118" s="580">
        <v>0</v>
      </c>
      <c r="P118" s="580">
        <v>0</v>
      </c>
      <c r="Q118" s="580">
        <v>0</v>
      </c>
      <c r="R118" s="580">
        <v>0</v>
      </c>
      <c r="S118" s="580">
        <v>0</v>
      </c>
      <c r="T118" s="580">
        <v>0</v>
      </c>
      <c r="U118" s="580">
        <v>0</v>
      </c>
      <c r="V118" s="580">
        <v>0</v>
      </c>
      <c r="W118" s="580">
        <v>0</v>
      </c>
      <c r="X118" s="580">
        <v>0</v>
      </c>
      <c r="Y118" s="580">
        <v>0</v>
      </c>
      <c r="Z118" s="592">
        <v>0</v>
      </c>
      <c r="AA118" s="580">
        <v>1396573.73999977</v>
      </c>
      <c r="AB118" s="580">
        <v>278764</v>
      </c>
      <c r="AC118" s="580">
        <v>272268</v>
      </c>
      <c r="AD118" s="580">
        <v>420653</v>
      </c>
      <c r="AE118" s="580">
        <v>17031.8199999928</v>
      </c>
      <c r="AF118" s="580">
        <v>9842.1800000071507</v>
      </c>
      <c r="AG118" s="580">
        <v>3389.4100000001499</v>
      </c>
      <c r="AH118" s="580">
        <v>20064.830000013098</v>
      </c>
      <c r="AI118" s="580">
        <v>29918.0200000107</v>
      </c>
      <c r="AJ118" s="580">
        <v>9239.0300000011903</v>
      </c>
      <c r="AK118" s="580">
        <v>10080.200000003</v>
      </c>
      <c r="AL118" s="592">
        <v>17433.539999991699</v>
      </c>
    </row>
    <row r="119" spans="1:38">
      <c r="B119" t="s">
        <v>15</v>
      </c>
      <c r="C119" s="580">
        <v>1248697.1900005301</v>
      </c>
      <c r="D119" s="580">
        <v>213290</v>
      </c>
      <c r="E119" s="580">
        <v>102693</v>
      </c>
      <c r="F119" s="580">
        <v>20016</v>
      </c>
      <c r="G119" s="580">
        <v>3384.92000000179</v>
      </c>
      <c r="H119" s="580">
        <v>7304.92000000179</v>
      </c>
      <c r="I119" s="580">
        <v>12007.8400000036</v>
      </c>
      <c r="J119" s="580">
        <v>4521.5499999970198</v>
      </c>
      <c r="K119" s="580">
        <v>19544.060000002399</v>
      </c>
      <c r="L119" s="580">
        <v>19962.409999996398</v>
      </c>
      <c r="M119" s="580">
        <v>5840.9299999997002</v>
      </c>
      <c r="N119" s="592">
        <v>0</v>
      </c>
      <c r="O119" s="580">
        <v>0</v>
      </c>
      <c r="P119" s="580">
        <v>0</v>
      </c>
      <c r="Q119" s="580">
        <v>0</v>
      </c>
      <c r="R119" s="580">
        <v>0</v>
      </c>
      <c r="S119" s="580">
        <v>0</v>
      </c>
      <c r="T119" s="580">
        <v>0</v>
      </c>
      <c r="U119" s="580">
        <v>0</v>
      </c>
      <c r="V119" s="580">
        <v>0</v>
      </c>
      <c r="W119" s="580">
        <v>0</v>
      </c>
      <c r="X119" s="580">
        <v>0</v>
      </c>
      <c r="Y119" s="580">
        <v>0</v>
      </c>
      <c r="Z119" s="592">
        <v>0</v>
      </c>
      <c r="AA119" s="580">
        <v>1248697.1900005301</v>
      </c>
      <c r="AB119" s="580">
        <v>213290</v>
      </c>
      <c r="AC119" s="580">
        <v>102693</v>
      </c>
      <c r="AD119" s="580">
        <v>20016</v>
      </c>
      <c r="AE119" s="580">
        <v>3384.92000000179</v>
      </c>
      <c r="AF119" s="580">
        <v>7304.92000000179</v>
      </c>
      <c r="AG119" s="580">
        <v>12007.8400000036</v>
      </c>
      <c r="AH119" s="580">
        <v>4521.5499999970198</v>
      </c>
      <c r="AI119" s="580">
        <v>19544.060000002399</v>
      </c>
      <c r="AJ119" s="580">
        <v>19962.409999996398</v>
      </c>
      <c r="AK119" s="580">
        <v>5840.9299999997002</v>
      </c>
      <c r="AL119" s="592">
        <v>0</v>
      </c>
    </row>
    <row r="120" spans="1:38">
      <c r="B120" t="s">
        <v>16</v>
      </c>
      <c r="C120" s="580">
        <v>6974656.3100128202</v>
      </c>
      <c r="D120" s="580">
        <v>1145336</v>
      </c>
      <c r="E120" s="580">
        <v>36823</v>
      </c>
      <c r="F120" s="580">
        <v>60280</v>
      </c>
      <c r="G120" s="580">
        <v>35306.929999995999</v>
      </c>
      <c r="H120" s="580">
        <v>77016.4599999934</v>
      </c>
      <c r="I120" s="580">
        <v>94232.949999995501</v>
      </c>
      <c r="J120" s="580">
        <v>94537.780000001207</v>
      </c>
      <c r="K120" s="580">
        <v>78797.359999991997</v>
      </c>
      <c r="L120" s="580">
        <v>91785.539999961897</v>
      </c>
      <c r="M120" s="580">
        <v>67651.950000047698</v>
      </c>
      <c r="N120" s="592">
        <v>197499.25</v>
      </c>
      <c r="O120" s="580">
        <v>0</v>
      </c>
      <c r="P120" s="580">
        <v>0</v>
      </c>
      <c r="Q120" s="580">
        <v>0</v>
      </c>
      <c r="R120" s="580">
        <v>0</v>
      </c>
      <c r="S120" s="580">
        <v>0</v>
      </c>
      <c r="T120" s="580">
        <v>0</v>
      </c>
      <c r="U120" s="580">
        <v>0</v>
      </c>
      <c r="V120" s="580">
        <v>0</v>
      </c>
      <c r="W120" s="580">
        <v>0</v>
      </c>
      <c r="X120" s="580">
        <v>0</v>
      </c>
      <c r="Y120" s="580">
        <v>0</v>
      </c>
      <c r="Z120" s="592">
        <v>0</v>
      </c>
      <c r="AA120" s="580">
        <v>6974656.3100128202</v>
      </c>
      <c r="AB120" s="580">
        <v>1145336</v>
      </c>
      <c r="AC120" s="580">
        <v>36823</v>
      </c>
      <c r="AD120" s="580">
        <v>60280</v>
      </c>
      <c r="AE120" s="580">
        <v>35306.929999995999</v>
      </c>
      <c r="AF120" s="580">
        <v>77016.4599999934</v>
      </c>
      <c r="AG120" s="580">
        <v>94232.949999995501</v>
      </c>
      <c r="AH120" s="580">
        <v>94537.780000001207</v>
      </c>
      <c r="AI120" s="580">
        <v>78797.359999991997</v>
      </c>
      <c r="AJ120" s="580">
        <v>91785.539999961897</v>
      </c>
      <c r="AK120" s="580">
        <v>67651.950000047698</v>
      </c>
      <c r="AL120" s="592">
        <v>197499.25</v>
      </c>
    </row>
    <row r="121" spans="1:38">
      <c r="B121" t="s">
        <v>17</v>
      </c>
      <c r="C121" s="580">
        <v>3646352.9199981699</v>
      </c>
      <c r="D121" s="580">
        <v>496765</v>
      </c>
      <c r="E121" s="580">
        <v>32001</v>
      </c>
      <c r="F121" s="580">
        <v>31201</v>
      </c>
      <c r="G121" s="580">
        <v>30495.139999985699</v>
      </c>
      <c r="H121" s="580">
        <v>17461.810000002399</v>
      </c>
      <c r="I121" s="580">
        <v>33910.869999989904</v>
      </c>
      <c r="J121" s="580">
        <v>68866.649999976202</v>
      </c>
      <c r="K121" s="580">
        <v>23534.849999994</v>
      </c>
      <c r="L121" s="580">
        <v>36660.300000011899</v>
      </c>
      <c r="M121" s="580">
        <v>52056.2400000095</v>
      </c>
      <c r="N121" s="592">
        <v>67698.759999990507</v>
      </c>
      <c r="O121" s="580">
        <v>0</v>
      </c>
      <c r="P121" s="580">
        <v>0</v>
      </c>
      <c r="Q121" s="580">
        <v>0</v>
      </c>
      <c r="R121" s="580">
        <v>0</v>
      </c>
      <c r="S121" s="580">
        <v>0</v>
      </c>
      <c r="T121" s="580">
        <v>0</v>
      </c>
      <c r="U121" s="580">
        <v>0</v>
      </c>
      <c r="V121" s="580">
        <v>0</v>
      </c>
      <c r="W121" s="580">
        <v>0</v>
      </c>
      <c r="X121" s="580">
        <v>0</v>
      </c>
      <c r="Y121" s="580">
        <v>0</v>
      </c>
      <c r="Z121" s="592">
        <v>0</v>
      </c>
      <c r="AA121" s="580">
        <v>3646352.9199981699</v>
      </c>
      <c r="AB121" s="580">
        <v>496765</v>
      </c>
      <c r="AC121" s="580">
        <v>32001</v>
      </c>
      <c r="AD121" s="580">
        <v>31201</v>
      </c>
      <c r="AE121" s="580">
        <v>30495.139999985699</v>
      </c>
      <c r="AF121" s="580">
        <v>17461.810000002399</v>
      </c>
      <c r="AG121" s="580">
        <v>33910.869999989904</v>
      </c>
      <c r="AH121" s="580">
        <v>68866.649999976202</v>
      </c>
      <c r="AI121" s="580">
        <v>23534.849999994</v>
      </c>
      <c r="AJ121" s="580">
        <v>36660.300000011899</v>
      </c>
      <c r="AK121" s="580">
        <v>52056.2400000095</v>
      </c>
      <c r="AL121" s="592">
        <v>67698.759999990507</v>
      </c>
    </row>
    <row r="122" spans="1:38">
      <c r="B122" t="s">
        <v>18</v>
      </c>
      <c r="C122" s="580">
        <v>340586.010000229</v>
      </c>
      <c r="D122" s="580">
        <v>50571</v>
      </c>
      <c r="E122" s="580">
        <v>0</v>
      </c>
      <c r="F122" s="580">
        <v>0</v>
      </c>
      <c r="G122" s="580">
        <v>0</v>
      </c>
      <c r="H122" s="580">
        <v>0</v>
      </c>
      <c r="I122" s="580">
        <v>0</v>
      </c>
      <c r="J122" s="580">
        <v>0</v>
      </c>
      <c r="K122" s="580">
        <v>0</v>
      </c>
      <c r="L122" s="580">
        <v>0</v>
      </c>
      <c r="M122" s="580">
        <v>0</v>
      </c>
      <c r="N122" s="592">
        <v>0</v>
      </c>
      <c r="O122" s="580">
        <v>0</v>
      </c>
      <c r="P122" s="580">
        <v>0</v>
      </c>
      <c r="Q122" s="580">
        <v>0</v>
      </c>
      <c r="R122" s="580">
        <v>0</v>
      </c>
      <c r="S122" s="580">
        <v>0</v>
      </c>
      <c r="T122" s="580">
        <v>0</v>
      </c>
      <c r="U122" s="580">
        <v>0</v>
      </c>
      <c r="V122" s="580">
        <v>0</v>
      </c>
      <c r="W122" s="580">
        <v>0</v>
      </c>
      <c r="X122" s="580">
        <v>0</v>
      </c>
      <c r="Y122" s="580">
        <v>0</v>
      </c>
      <c r="Z122" s="592">
        <v>0</v>
      </c>
      <c r="AA122" s="580">
        <v>340586.010000229</v>
      </c>
      <c r="AB122" s="580">
        <v>50571</v>
      </c>
      <c r="AC122" s="580">
        <v>0</v>
      </c>
      <c r="AD122" s="580">
        <v>0</v>
      </c>
      <c r="AE122" s="580">
        <v>0</v>
      </c>
      <c r="AF122" s="580">
        <v>0</v>
      </c>
      <c r="AG122" s="580">
        <v>0</v>
      </c>
      <c r="AH122" s="580">
        <v>0</v>
      </c>
      <c r="AI122" s="580">
        <v>0</v>
      </c>
      <c r="AJ122" s="580">
        <v>0</v>
      </c>
      <c r="AK122" s="580">
        <v>0</v>
      </c>
      <c r="AL122" s="592">
        <v>0</v>
      </c>
    </row>
    <row r="123" spans="1:38">
      <c r="A123" t="s">
        <v>86</v>
      </c>
      <c r="B123" t="s">
        <v>3</v>
      </c>
      <c r="C123" s="580">
        <v>999448.48000017297</v>
      </c>
      <c r="D123" s="580">
        <v>1045423</v>
      </c>
      <c r="E123" s="580">
        <v>981585</v>
      </c>
      <c r="F123" s="580">
        <v>841859</v>
      </c>
      <c r="G123" s="580">
        <v>678233.68000002799</v>
      </c>
      <c r="H123" s="580">
        <v>487257.629999995</v>
      </c>
      <c r="I123" s="580">
        <v>397690.269999918</v>
      </c>
      <c r="J123" s="580">
        <v>297533.92000006302</v>
      </c>
      <c r="K123" s="580">
        <v>266366.23999992199</v>
      </c>
      <c r="L123" s="580">
        <v>239724.289999962</v>
      </c>
      <c r="M123" s="580">
        <v>200453.27000002901</v>
      </c>
      <c r="N123" s="592">
        <v>151707.939999964</v>
      </c>
      <c r="O123" s="580">
        <v>0</v>
      </c>
      <c r="P123" s="580">
        <v>0</v>
      </c>
      <c r="Q123" s="580">
        <v>0</v>
      </c>
      <c r="R123" s="580">
        <v>0</v>
      </c>
      <c r="S123" s="580">
        <v>0</v>
      </c>
      <c r="T123" s="580">
        <v>0</v>
      </c>
      <c r="U123" s="580">
        <v>0</v>
      </c>
      <c r="V123" s="580">
        <v>0</v>
      </c>
      <c r="W123" s="580">
        <v>0</v>
      </c>
      <c r="X123" s="580">
        <v>0</v>
      </c>
      <c r="Y123" s="580">
        <v>0</v>
      </c>
      <c r="Z123" s="592">
        <v>0</v>
      </c>
      <c r="AA123" s="580">
        <v>999448.48000017297</v>
      </c>
      <c r="AB123" s="580">
        <v>1045423</v>
      </c>
      <c r="AC123" s="580">
        <v>981585</v>
      </c>
      <c r="AD123" s="580">
        <v>841859</v>
      </c>
      <c r="AE123" s="580">
        <v>678233.68000002799</v>
      </c>
      <c r="AF123" s="580">
        <v>487257.629999995</v>
      </c>
      <c r="AG123" s="580">
        <v>397690.269999918</v>
      </c>
      <c r="AH123" s="580">
        <v>297533.92000006302</v>
      </c>
      <c r="AI123" s="580">
        <v>266366.23999992199</v>
      </c>
      <c r="AJ123" s="580">
        <v>239724.289999962</v>
      </c>
      <c r="AK123" s="580">
        <v>200453.27000002901</v>
      </c>
      <c r="AL123" s="592">
        <v>151707.939999964</v>
      </c>
    </row>
    <row r="124" spans="1:38">
      <c r="B124" t="s">
        <v>5</v>
      </c>
      <c r="C124" s="580">
        <v>202781.88000004899</v>
      </c>
      <c r="D124" s="580">
        <v>215437</v>
      </c>
      <c r="E124" s="580">
        <v>217475</v>
      </c>
      <c r="F124" s="580">
        <v>222294</v>
      </c>
      <c r="G124" s="580">
        <v>225415.45999997901</v>
      </c>
      <c r="H124" s="580">
        <v>173716.99000001</v>
      </c>
      <c r="I124" s="580">
        <v>140986.460000008</v>
      </c>
      <c r="J124" s="580">
        <v>104355.93999999799</v>
      </c>
      <c r="K124" s="580">
        <v>84842.680000007196</v>
      </c>
      <c r="L124" s="580">
        <v>75777.279999986305</v>
      </c>
      <c r="M124" s="580">
        <v>79645.549999982104</v>
      </c>
      <c r="N124" s="592">
        <v>57004.469999998801</v>
      </c>
      <c r="O124" s="580">
        <v>0</v>
      </c>
      <c r="P124" s="580">
        <v>0</v>
      </c>
      <c r="Q124" s="580">
        <v>0</v>
      </c>
      <c r="R124" s="580">
        <v>0</v>
      </c>
      <c r="S124" s="580">
        <v>0</v>
      </c>
      <c r="T124" s="580">
        <v>0</v>
      </c>
      <c r="U124" s="580">
        <v>0</v>
      </c>
      <c r="V124" s="580">
        <v>0</v>
      </c>
      <c r="W124" s="580">
        <v>0</v>
      </c>
      <c r="X124" s="580">
        <v>0</v>
      </c>
      <c r="Y124" s="580">
        <v>0</v>
      </c>
      <c r="Z124" s="592">
        <v>0</v>
      </c>
      <c r="AA124" s="580">
        <v>202781.88000004899</v>
      </c>
      <c r="AB124" s="580">
        <v>215437</v>
      </c>
      <c r="AC124" s="580">
        <v>217475</v>
      </c>
      <c r="AD124" s="580">
        <v>222294</v>
      </c>
      <c r="AE124" s="580">
        <v>225415.45999997901</v>
      </c>
      <c r="AF124" s="580">
        <v>173716.99000001</v>
      </c>
      <c r="AG124" s="580">
        <v>140986.460000008</v>
      </c>
      <c r="AH124" s="580">
        <v>104355.93999999799</v>
      </c>
      <c r="AI124" s="580">
        <v>84842.680000007196</v>
      </c>
      <c r="AJ124" s="580">
        <v>75777.279999986305</v>
      </c>
      <c r="AK124" s="580">
        <v>79645.549999982104</v>
      </c>
      <c r="AL124" s="592">
        <v>57004.469999998801</v>
      </c>
    </row>
    <row r="125" spans="1:38">
      <c r="B125" t="s">
        <v>6</v>
      </c>
      <c r="C125" s="580">
        <v>200</v>
      </c>
      <c r="D125" s="580">
        <v>240</v>
      </c>
      <c r="E125" s="580">
        <v>260</v>
      </c>
      <c r="F125" s="580">
        <v>0</v>
      </c>
      <c r="G125" s="580">
        <v>0</v>
      </c>
      <c r="H125" s="580">
        <v>0</v>
      </c>
      <c r="I125" s="580">
        <v>0</v>
      </c>
      <c r="J125" s="580">
        <v>0</v>
      </c>
      <c r="K125" s="580">
        <v>0</v>
      </c>
      <c r="L125" s="580">
        <v>0</v>
      </c>
      <c r="M125" s="580">
        <v>0</v>
      </c>
      <c r="N125" s="592">
        <v>0</v>
      </c>
      <c r="O125" s="580">
        <v>0</v>
      </c>
      <c r="P125" s="580">
        <v>0</v>
      </c>
      <c r="Q125" s="580">
        <v>0</v>
      </c>
      <c r="R125" s="580">
        <v>0</v>
      </c>
      <c r="S125" s="580">
        <v>0</v>
      </c>
      <c r="T125" s="580">
        <v>0</v>
      </c>
      <c r="U125" s="580">
        <v>0</v>
      </c>
      <c r="V125" s="580">
        <v>0</v>
      </c>
      <c r="W125" s="580">
        <v>0</v>
      </c>
      <c r="X125" s="580">
        <v>0</v>
      </c>
      <c r="Y125" s="580">
        <v>0</v>
      </c>
      <c r="Z125" s="592">
        <v>0</v>
      </c>
      <c r="AA125" s="580">
        <v>200</v>
      </c>
      <c r="AB125" s="580">
        <v>240</v>
      </c>
      <c r="AC125" s="580">
        <v>260</v>
      </c>
      <c r="AD125" s="580">
        <v>0</v>
      </c>
      <c r="AE125" s="580">
        <v>0</v>
      </c>
      <c r="AF125" s="580">
        <v>0</v>
      </c>
      <c r="AG125" s="580">
        <v>0</v>
      </c>
      <c r="AH125" s="580">
        <v>0</v>
      </c>
      <c r="AI125" s="580">
        <v>0</v>
      </c>
      <c r="AJ125" s="580">
        <v>0</v>
      </c>
      <c r="AK125" s="580">
        <v>0</v>
      </c>
      <c r="AL125" s="592">
        <v>0</v>
      </c>
    </row>
    <row r="126" spans="1:38">
      <c r="B126" t="s">
        <v>7</v>
      </c>
      <c r="C126" s="580">
        <v>428426.42000004603</v>
      </c>
      <c r="D126" s="580">
        <v>449405</v>
      </c>
      <c r="E126" s="580">
        <v>438516</v>
      </c>
      <c r="F126" s="580">
        <v>381922</v>
      </c>
      <c r="G126" s="580">
        <v>286131.61000006599</v>
      </c>
      <c r="H126" s="580">
        <v>196032.83999999601</v>
      </c>
      <c r="I126" s="580">
        <v>168563.00999994599</v>
      </c>
      <c r="J126" s="580">
        <v>131115.65000005101</v>
      </c>
      <c r="K126" s="580">
        <v>122763.709999941</v>
      </c>
      <c r="L126" s="580">
        <v>113901.919999972</v>
      </c>
      <c r="M126" s="580">
        <v>89845.740000043093</v>
      </c>
      <c r="N126" s="592">
        <v>81140.8199999668</v>
      </c>
      <c r="O126" s="580">
        <v>0</v>
      </c>
      <c r="P126" s="580">
        <v>0</v>
      </c>
      <c r="Q126" s="580">
        <v>0</v>
      </c>
      <c r="R126" s="580">
        <v>0</v>
      </c>
      <c r="S126" s="580">
        <v>0</v>
      </c>
      <c r="T126" s="580">
        <v>0</v>
      </c>
      <c r="U126" s="580">
        <v>0</v>
      </c>
      <c r="V126" s="580">
        <v>0</v>
      </c>
      <c r="W126" s="580">
        <v>0</v>
      </c>
      <c r="X126" s="580">
        <v>0</v>
      </c>
      <c r="Y126" s="580">
        <v>0</v>
      </c>
      <c r="Z126" s="592">
        <v>0</v>
      </c>
      <c r="AA126" s="580">
        <v>428426.42000004603</v>
      </c>
      <c r="AB126" s="580">
        <v>449405</v>
      </c>
      <c r="AC126" s="580">
        <v>438516</v>
      </c>
      <c r="AD126" s="580">
        <v>381922</v>
      </c>
      <c r="AE126" s="580">
        <v>286131.61000006599</v>
      </c>
      <c r="AF126" s="580">
        <v>196032.83999999601</v>
      </c>
      <c r="AG126" s="580">
        <v>168563.00999994599</v>
      </c>
      <c r="AH126" s="580">
        <v>131115.65000005101</v>
      </c>
      <c r="AI126" s="580">
        <v>122763.709999941</v>
      </c>
      <c r="AJ126" s="580">
        <v>113901.919999972</v>
      </c>
      <c r="AK126" s="580">
        <v>89845.740000043093</v>
      </c>
      <c r="AL126" s="592">
        <v>81140.8199999668</v>
      </c>
    </row>
    <row r="127" spans="1:38">
      <c r="B127" t="s">
        <v>8</v>
      </c>
      <c r="C127" s="580">
        <v>229714.87000006801</v>
      </c>
      <c r="D127" s="580">
        <v>241135</v>
      </c>
      <c r="E127" s="580">
        <v>205749</v>
      </c>
      <c r="F127" s="580">
        <v>167795</v>
      </c>
      <c r="G127" s="580">
        <v>131298.26999998101</v>
      </c>
      <c r="H127" s="580">
        <v>95141.889999985695</v>
      </c>
      <c r="I127" s="580">
        <v>75739.1299999654</v>
      </c>
      <c r="J127" s="580">
        <v>54670.460000017702</v>
      </c>
      <c r="K127" s="580">
        <v>50797.349999973601</v>
      </c>
      <c r="L127" s="580">
        <v>44083.550000004499</v>
      </c>
      <c r="M127" s="580">
        <v>26399.150000006</v>
      </c>
      <c r="N127" s="592">
        <v>8716.9399999976195</v>
      </c>
      <c r="O127" s="580">
        <v>0</v>
      </c>
      <c r="P127" s="580">
        <v>0</v>
      </c>
      <c r="Q127" s="580">
        <v>0</v>
      </c>
      <c r="R127" s="580">
        <v>0</v>
      </c>
      <c r="S127" s="580">
        <v>0</v>
      </c>
      <c r="T127" s="580">
        <v>0</v>
      </c>
      <c r="U127" s="580">
        <v>0</v>
      </c>
      <c r="V127" s="580">
        <v>0</v>
      </c>
      <c r="W127" s="580">
        <v>0</v>
      </c>
      <c r="X127" s="580">
        <v>0</v>
      </c>
      <c r="Y127" s="580">
        <v>0</v>
      </c>
      <c r="Z127" s="592">
        <v>0</v>
      </c>
      <c r="AA127" s="580">
        <v>229714.87000006801</v>
      </c>
      <c r="AB127" s="580">
        <v>241135</v>
      </c>
      <c r="AC127" s="580">
        <v>205749</v>
      </c>
      <c r="AD127" s="580">
        <v>167795</v>
      </c>
      <c r="AE127" s="580">
        <v>131298.26999998101</v>
      </c>
      <c r="AF127" s="580">
        <v>95141.889999985695</v>
      </c>
      <c r="AG127" s="580">
        <v>75739.1299999654</v>
      </c>
      <c r="AH127" s="580">
        <v>54670.460000017702</v>
      </c>
      <c r="AI127" s="580">
        <v>50797.349999973601</v>
      </c>
      <c r="AJ127" s="580">
        <v>44083.550000004499</v>
      </c>
      <c r="AK127" s="580">
        <v>26399.150000006</v>
      </c>
      <c r="AL127" s="592">
        <v>8716.9399999976195</v>
      </c>
    </row>
    <row r="128" spans="1:38">
      <c r="B128" t="s">
        <v>9</v>
      </c>
      <c r="C128" s="580">
        <v>93979.870000014096</v>
      </c>
      <c r="D128" s="580">
        <v>99689</v>
      </c>
      <c r="E128" s="580">
        <v>88290</v>
      </c>
      <c r="F128" s="580">
        <v>46451</v>
      </c>
      <c r="G128" s="580">
        <v>20404.520000005101</v>
      </c>
      <c r="H128" s="580">
        <v>13132.530000001199</v>
      </c>
      <c r="I128" s="580">
        <v>4505.0199999995502</v>
      </c>
      <c r="J128" s="580">
        <v>3248.3099999986598</v>
      </c>
      <c r="K128" s="580">
        <v>3499.0700000002998</v>
      </c>
      <c r="L128" s="580">
        <v>3725.4499999992499</v>
      </c>
      <c r="M128" s="580">
        <v>4562.82999999821</v>
      </c>
      <c r="N128" s="592">
        <v>4845.7100000008904</v>
      </c>
      <c r="O128" s="580">
        <v>0</v>
      </c>
      <c r="P128" s="580">
        <v>0</v>
      </c>
      <c r="Q128" s="580">
        <v>0</v>
      </c>
      <c r="R128" s="580">
        <v>0</v>
      </c>
      <c r="S128" s="580">
        <v>0</v>
      </c>
      <c r="T128" s="580">
        <v>0</v>
      </c>
      <c r="U128" s="580">
        <v>0</v>
      </c>
      <c r="V128" s="580">
        <v>0</v>
      </c>
      <c r="W128" s="580">
        <v>0</v>
      </c>
      <c r="X128" s="580">
        <v>0</v>
      </c>
      <c r="Y128" s="580">
        <v>0</v>
      </c>
      <c r="Z128" s="592">
        <v>0</v>
      </c>
      <c r="AA128" s="580">
        <v>93979.870000014096</v>
      </c>
      <c r="AB128" s="580">
        <v>99689</v>
      </c>
      <c r="AC128" s="580">
        <v>88290</v>
      </c>
      <c r="AD128" s="580">
        <v>46451</v>
      </c>
      <c r="AE128" s="580">
        <v>20404.520000005101</v>
      </c>
      <c r="AF128" s="580">
        <v>13132.530000001199</v>
      </c>
      <c r="AG128" s="580">
        <v>4505.0199999995502</v>
      </c>
      <c r="AH128" s="580">
        <v>3248.3099999986598</v>
      </c>
      <c r="AI128" s="580">
        <v>3499.0700000002998</v>
      </c>
      <c r="AJ128" s="580">
        <v>3725.4499999992499</v>
      </c>
      <c r="AK128" s="580">
        <v>4562.82999999821</v>
      </c>
      <c r="AL128" s="592">
        <v>4845.7100000008904</v>
      </c>
    </row>
    <row r="129" spans="1:38">
      <c r="B129" t="s">
        <v>10</v>
      </c>
      <c r="C129" s="580">
        <v>18025.659999996398</v>
      </c>
      <c r="D129" s="580">
        <v>19483</v>
      </c>
      <c r="E129" s="580">
        <v>14298</v>
      </c>
      <c r="F129" s="580">
        <v>14730</v>
      </c>
      <c r="G129" s="580">
        <v>10967.9099999964</v>
      </c>
      <c r="H129" s="580">
        <v>5084.9600000008904</v>
      </c>
      <c r="I129" s="580">
        <v>5612.0599999986598</v>
      </c>
      <c r="J129" s="580">
        <v>4143.5599999986598</v>
      </c>
      <c r="K129" s="580">
        <v>4463.4299999997002</v>
      </c>
      <c r="L129" s="580">
        <v>2236.0899999998501</v>
      </c>
      <c r="M129" s="580">
        <v>0</v>
      </c>
      <c r="N129" s="592">
        <v>0</v>
      </c>
      <c r="O129" s="580">
        <v>0</v>
      </c>
      <c r="P129" s="580">
        <v>0</v>
      </c>
      <c r="Q129" s="580">
        <v>0</v>
      </c>
      <c r="R129" s="580">
        <v>0</v>
      </c>
      <c r="S129" s="580">
        <v>0</v>
      </c>
      <c r="T129" s="580">
        <v>0</v>
      </c>
      <c r="U129" s="580">
        <v>0</v>
      </c>
      <c r="V129" s="580">
        <v>0</v>
      </c>
      <c r="W129" s="580">
        <v>0</v>
      </c>
      <c r="X129" s="580">
        <v>0</v>
      </c>
      <c r="Y129" s="580">
        <v>0</v>
      </c>
      <c r="Z129" s="592">
        <v>0</v>
      </c>
      <c r="AA129" s="580">
        <v>18025.659999996398</v>
      </c>
      <c r="AB129" s="580">
        <v>19483</v>
      </c>
      <c r="AC129" s="580">
        <v>14298</v>
      </c>
      <c r="AD129" s="580">
        <v>14730</v>
      </c>
      <c r="AE129" s="580">
        <v>10967.9099999964</v>
      </c>
      <c r="AF129" s="580">
        <v>5084.9600000008904</v>
      </c>
      <c r="AG129" s="580">
        <v>5612.0599999986598</v>
      </c>
      <c r="AH129" s="580">
        <v>4143.5599999986598</v>
      </c>
      <c r="AI129" s="580">
        <v>4463.4299999997002</v>
      </c>
      <c r="AJ129" s="580">
        <v>2236.0899999998501</v>
      </c>
      <c r="AK129" s="580">
        <v>0</v>
      </c>
      <c r="AL129" s="592">
        <v>0</v>
      </c>
    </row>
    <row r="130" spans="1:38">
      <c r="B130" t="s">
        <v>11</v>
      </c>
      <c r="C130" s="580">
        <v>9852.0199999976903</v>
      </c>
      <c r="D130" s="580">
        <v>11713</v>
      </c>
      <c r="E130" s="580">
        <v>11368</v>
      </c>
      <c r="F130" s="580">
        <v>4843</v>
      </c>
      <c r="G130" s="580">
        <v>1909.6099999994001</v>
      </c>
      <c r="H130" s="580">
        <v>4148.42000000179</v>
      </c>
      <c r="I130" s="580">
        <v>2284.5899999998501</v>
      </c>
      <c r="J130" s="580">
        <v>0</v>
      </c>
      <c r="K130" s="580">
        <v>0</v>
      </c>
      <c r="L130" s="580">
        <v>0</v>
      </c>
      <c r="M130" s="580">
        <v>0</v>
      </c>
      <c r="N130" s="592">
        <v>0</v>
      </c>
      <c r="O130" s="580">
        <v>0</v>
      </c>
      <c r="P130" s="580">
        <v>0</v>
      </c>
      <c r="Q130" s="580">
        <v>0</v>
      </c>
      <c r="R130" s="580">
        <v>0</v>
      </c>
      <c r="S130" s="580">
        <v>0</v>
      </c>
      <c r="T130" s="580">
        <v>0</v>
      </c>
      <c r="U130" s="580">
        <v>0</v>
      </c>
      <c r="V130" s="580">
        <v>0</v>
      </c>
      <c r="W130" s="580">
        <v>0</v>
      </c>
      <c r="X130" s="580">
        <v>0</v>
      </c>
      <c r="Y130" s="580">
        <v>0</v>
      </c>
      <c r="Z130" s="592">
        <v>0</v>
      </c>
      <c r="AA130" s="580">
        <v>9852.0199999976903</v>
      </c>
      <c r="AB130" s="580">
        <v>11713</v>
      </c>
      <c r="AC130" s="580">
        <v>11368</v>
      </c>
      <c r="AD130" s="580">
        <v>4843</v>
      </c>
      <c r="AE130" s="580">
        <v>1909.6099999994001</v>
      </c>
      <c r="AF130" s="580">
        <v>4148.42000000179</v>
      </c>
      <c r="AG130" s="580">
        <v>2284.5899999998501</v>
      </c>
      <c r="AH130" s="580">
        <v>0</v>
      </c>
      <c r="AI130" s="580">
        <v>0</v>
      </c>
      <c r="AJ130" s="580">
        <v>0</v>
      </c>
      <c r="AK130" s="580">
        <v>0</v>
      </c>
      <c r="AL130" s="592">
        <v>0</v>
      </c>
    </row>
    <row r="131" spans="1:38">
      <c r="B131" t="s">
        <v>12</v>
      </c>
      <c r="C131" s="580">
        <v>5123.2999999988797</v>
      </c>
      <c r="D131" s="580">
        <v>4572</v>
      </c>
      <c r="E131" s="580">
        <v>1710</v>
      </c>
      <c r="F131" s="580">
        <v>3824</v>
      </c>
      <c r="G131" s="580">
        <v>2106.3000000007501</v>
      </c>
      <c r="H131" s="580">
        <v>0</v>
      </c>
      <c r="I131" s="580">
        <v>0</v>
      </c>
      <c r="J131" s="580">
        <v>0</v>
      </c>
      <c r="K131" s="580">
        <v>0</v>
      </c>
      <c r="L131" s="580">
        <v>0</v>
      </c>
      <c r="M131" s="580">
        <v>0</v>
      </c>
      <c r="N131" s="592">
        <v>0</v>
      </c>
      <c r="O131" s="580">
        <v>0</v>
      </c>
      <c r="P131" s="580">
        <v>0</v>
      </c>
      <c r="Q131" s="580">
        <v>0</v>
      </c>
      <c r="R131" s="580">
        <v>0</v>
      </c>
      <c r="S131" s="580">
        <v>0</v>
      </c>
      <c r="T131" s="580">
        <v>0</v>
      </c>
      <c r="U131" s="580">
        <v>0</v>
      </c>
      <c r="V131" s="580">
        <v>0</v>
      </c>
      <c r="W131" s="580">
        <v>0</v>
      </c>
      <c r="X131" s="580">
        <v>0</v>
      </c>
      <c r="Y131" s="580">
        <v>0</v>
      </c>
      <c r="Z131" s="592">
        <v>0</v>
      </c>
      <c r="AA131" s="580">
        <v>5123.2999999988797</v>
      </c>
      <c r="AB131" s="580">
        <v>4572</v>
      </c>
      <c r="AC131" s="580">
        <v>1710</v>
      </c>
      <c r="AD131" s="580">
        <v>3824</v>
      </c>
      <c r="AE131" s="580">
        <v>2106.3000000007501</v>
      </c>
      <c r="AF131" s="580">
        <v>0</v>
      </c>
      <c r="AG131" s="580">
        <v>0</v>
      </c>
      <c r="AH131" s="580">
        <v>0</v>
      </c>
      <c r="AI131" s="580">
        <v>0</v>
      </c>
      <c r="AJ131" s="580">
        <v>0</v>
      </c>
      <c r="AK131" s="580">
        <v>0</v>
      </c>
      <c r="AL131" s="592">
        <v>0</v>
      </c>
    </row>
    <row r="132" spans="1:38">
      <c r="B132" t="s">
        <v>13</v>
      </c>
      <c r="C132" s="580">
        <v>2908.6600000001499</v>
      </c>
      <c r="D132" s="580">
        <v>1804</v>
      </c>
      <c r="E132" s="580">
        <v>3919</v>
      </c>
      <c r="F132" s="580">
        <v>0</v>
      </c>
      <c r="G132" s="580">
        <v>0</v>
      </c>
      <c r="H132" s="580">
        <v>0</v>
      </c>
      <c r="I132" s="580">
        <v>0</v>
      </c>
      <c r="J132" s="580">
        <v>0</v>
      </c>
      <c r="K132" s="580">
        <v>0</v>
      </c>
      <c r="L132" s="580">
        <v>0</v>
      </c>
      <c r="M132" s="580">
        <v>0</v>
      </c>
      <c r="N132" s="592">
        <v>0</v>
      </c>
      <c r="O132" s="580">
        <v>0</v>
      </c>
      <c r="P132" s="580">
        <v>0</v>
      </c>
      <c r="Q132" s="580">
        <v>0</v>
      </c>
      <c r="R132" s="580">
        <v>0</v>
      </c>
      <c r="S132" s="580">
        <v>0</v>
      </c>
      <c r="T132" s="580">
        <v>0</v>
      </c>
      <c r="U132" s="580">
        <v>0</v>
      </c>
      <c r="V132" s="580">
        <v>0</v>
      </c>
      <c r="W132" s="580">
        <v>0</v>
      </c>
      <c r="X132" s="580">
        <v>0</v>
      </c>
      <c r="Y132" s="580">
        <v>0</v>
      </c>
      <c r="Z132" s="592">
        <v>0</v>
      </c>
      <c r="AA132" s="580">
        <v>2908.6600000001499</v>
      </c>
      <c r="AB132" s="580">
        <v>1804</v>
      </c>
      <c r="AC132" s="580">
        <v>3919</v>
      </c>
      <c r="AD132" s="580">
        <v>0</v>
      </c>
      <c r="AE132" s="580">
        <v>0</v>
      </c>
      <c r="AF132" s="580">
        <v>0</v>
      </c>
      <c r="AG132" s="580">
        <v>0</v>
      </c>
      <c r="AH132" s="580">
        <v>0</v>
      </c>
      <c r="AI132" s="580">
        <v>0</v>
      </c>
      <c r="AJ132" s="580">
        <v>0</v>
      </c>
      <c r="AK132" s="580">
        <v>0</v>
      </c>
      <c r="AL132" s="592">
        <v>0</v>
      </c>
    </row>
    <row r="133" spans="1:38">
      <c r="B133" t="s">
        <v>14</v>
      </c>
      <c r="C133" s="580">
        <v>1624.59999999963</v>
      </c>
      <c r="D133" s="580">
        <v>1945</v>
      </c>
      <c r="E133" s="580">
        <v>0</v>
      </c>
      <c r="F133" s="580">
        <v>0</v>
      </c>
      <c r="G133" s="580">
        <v>0</v>
      </c>
      <c r="H133" s="580">
        <v>0</v>
      </c>
      <c r="I133" s="580">
        <v>0</v>
      </c>
      <c r="J133" s="580">
        <v>0</v>
      </c>
      <c r="K133" s="580">
        <v>0</v>
      </c>
      <c r="L133" s="580">
        <v>0</v>
      </c>
      <c r="M133" s="580">
        <v>0</v>
      </c>
      <c r="N133" s="592">
        <v>0</v>
      </c>
      <c r="O133" s="580">
        <v>0</v>
      </c>
      <c r="P133" s="580">
        <v>0</v>
      </c>
      <c r="Q133" s="580">
        <v>0</v>
      </c>
      <c r="R133" s="580">
        <v>0</v>
      </c>
      <c r="S133" s="580">
        <v>0</v>
      </c>
      <c r="T133" s="580">
        <v>0</v>
      </c>
      <c r="U133" s="580">
        <v>0</v>
      </c>
      <c r="V133" s="580">
        <v>0</v>
      </c>
      <c r="W133" s="580">
        <v>0</v>
      </c>
      <c r="X133" s="580">
        <v>0</v>
      </c>
      <c r="Y133" s="580">
        <v>0</v>
      </c>
      <c r="Z133" s="592">
        <v>0</v>
      </c>
      <c r="AA133" s="580">
        <v>1624.59999999963</v>
      </c>
      <c r="AB133" s="580">
        <v>1945</v>
      </c>
      <c r="AC133" s="580">
        <v>0</v>
      </c>
      <c r="AD133" s="580">
        <v>0</v>
      </c>
      <c r="AE133" s="580">
        <v>0</v>
      </c>
      <c r="AF133" s="580">
        <v>0</v>
      </c>
      <c r="AG133" s="580">
        <v>0</v>
      </c>
      <c r="AH133" s="580">
        <v>0</v>
      </c>
      <c r="AI133" s="580">
        <v>0</v>
      </c>
      <c r="AJ133" s="580">
        <v>0</v>
      </c>
      <c r="AK133" s="580">
        <v>0</v>
      </c>
      <c r="AL133" s="592">
        <v>0</v>
      </c>
    </row>
    <row r="134" spans="1:38">
      <c r="B134" t="s">
        <v>17</v>
      </c>
      <c r="C134" s="580">
        <v>6811.2000000029802</v>
      </c>
      <c r="D134" s="580">
        <v>0</v>
      </c>
      <c r="E134" s="580">
        <v>0</v>
      </c>
      <c r="F134" s="580">
        <v>0</v>
      </c>
      <c r="G134" s="580">
        <v>0</v>
      </c>
      <c r="H134" s="580">
        <v>0</v>
      </c>
      <c r="I134" s="580">
        <v>0</v>
      </c>
      <c r="J134" s="580">
        <v>0</v>
      </c>
      <c r="K134" s="580">
        <v>0</v>
      </c>
      <c r="L134" s="580">
        <v>0</v>
      </c>
      <c r="M134" s="580">
        <v>0</v>
      </c>
      <c r="N134" s="592">
        <v>0</v>
      </c>
      <c r="O134" s="580">
        <v>0</v>
      </c>
      <c r="P134" s="580">
        <v>0</v>
      </c>
      <c r="Q134" s="580">
        <v>0</v>
      </c>
      <c r="R134" s="580">
        <v>0</v>
      </c>
      <c r="S134" s="580">
        <v>0</v>
      </c>
      <c r="T134" s="580">
        <v>0</v>
      </c>
      <c r="U134" s="580">
        <v>0</v>
      </c>
      <c r="V134" s="580">
        <v>0</v>
      </c>
      <c r="W134" s="580">
        <v>0</v>
      </c>
      <c r="X134" s="580">
        <v>0</v>
      </c>
      <c r="Y134" s="580">
        <v>0</v>
      </c>
      <c r="Z134" s="592">
        <v>0</v>
      </c>
      <c r="AA134" s="580">
        <v>6811.2000000029802</v>
      </c>
      <c r="AB134" s="580">
        <v>0</v>
      </c>
      <c r="AC134" s="580">
        <v>0</v>
      </c>
      <c r="AD134" s="580">
        <v>0</v>
      </c>
      <c r="AE134" s="580">
        <v>0</v>
      </c>
      <c r="AF134" s="580">
        <v>0</v>
      </c>
      <c r="AG134" s="580">
        <v>0</v>
      </c>
      <c r="AH134" s="580">
        <v>0</v>
      </c>
      <c r="AI134" s="580">
        <v>0</v>
      </c>
      <c r="AJ134" s="580">
        <v>0</v>
      </c>
      <c r="AK134" s="580">
        <v>0</v>
      </c>
      <c r="AL134" s="592">
        <v>0</v>
      </c>
    </row>
    <row r="135" spans="1:38">
      <c r="A135" s="104" t="s">
        <v>90</v>
      </c>
      <c r="B135" t="s">
        <v>3</v>
      </c>
      <c r="C135" s="580">
        <v>51059429.759998403</v>
      </c>
      <c r="D135" s="580">
        <v>66778756</v>
      </c>
      <c r="E135" s="580">
        <v>77581867</v>
      </c>
      <c r="F135" s="580">
        <v>91404305</v>
      </c>
      <c r="G135" s="580">
        <v>102148396.40001</v>
      </c>
      <c r="H135" s="580">
        <v>109236855.52001999</v>
      </c>
      <c r="I135" s="580">
        <v>121233758.320011</v>
      </c>
      <c r="J135" s="580">
        <v>136959095.43998599</v>
      </c>
      <c r="K135" s="580">
        <v>155940774.64000699</v>
      </c>
      <c r="L135" s="580">
        <v>175638753.24000001</v>
      </c>
      <c r="M135" s="580">
        <v>199001734.689991</v>
      </c>
      <c r="N135" s="592">
        <v>224842198.52993801</v>
      </c>
      <c r="O135" s="580">
        <v>2007798.01</v>
      </c>
      <c r="P135" s="580">
        <v>2531411</v>
      </c>
      <c r="Q135" s="580">
        <v>2779771</v>
      </c>
      <c r="R135" s="580">
        <v>3226114</v>
      </c>
      <c r="S135" s="580">
        <v>3658540.33999993</v>
      </c>
      <c r="T135" s="580">
        <v>3896592.5400000499</v>
      </c>
      <c r="U135" s="580">
        <v>4272467.4099996099</v>
      </c>
      <c r="V135" s="580">
        <v>4916159.4600001099</v>
      </c>
      <c r="W135" s="580">
        <v>5637014.79999974</v>
      </c>
      <c r="X135" s="580">
        <v>6321183.9699996999</v>
      </c>
      <c r="Y135" s="580">
        <v>7444577.1699999599</v>
      </c>
      <c r="Z135" s="592">
        <v>8387845.2599995304</v>
      </c>
      <c r="AA135" s="580">
        <v>53067227.769998401</v>
      </c>
      <c r="AB135" s="580">
        <v>69310167</v>
      </c>
      <c r="AC135" s="580">
        <v>80361638</v>
      </c>
      <c r="AD135" s="580">
        <v>94630419</v>
      </c>
      <c r="AE135" s="580">
        <v>105806936.74000999</v>
      </c>
      <c r="AF135" s="580">
        <v>113133448.06002</v>
      </c>
      <c r="AG135" s="580">
        <v>125506225.73001</v>
      </c>
      <c r="AH135" s="580">
        <v>141875254.899986</v>
      </c>
      <c r="AI135" s="580">
        <v>161577789.44000599</v>
      </c>
      <c r="AJ135" s="580">
        <v>181959937.209999</v>
      </c>
      <c r="AK135" s="580">
        <v>206446311.85999101</v>
      </c>
      <c r="AL135" s="592">
        <v>233230043.789938</v>
      </c>
    </row>
    <row r="136" spans="1:38">
      <c r="B136" t="s">
        <v>5</v>
      </c>
      <c r="C136" s="580">
        <v>290508.61999988602</v>
      </c>
      <c r="D136" s="580">
        <v>367458</v>
      </c>
      <c r="E136" s="580">
        <v>427128</v>
      </c>
      <c r="F136" s="580">
        <v>532323</v>
      </c>
      <c r="G136" s="580">
        <v>675457.75</v>
      </c>
      <c r="H136" s="580">
        <v>778050.760000229</v>
      </c>
      <c r="I136" s="580">
        <v>853213.81000041997</v>
      </c>
      <c r="J136" s="580">
        <v>1039900.42000008</v>
      </c>
      <c r="K136" s="580">
        <v>1172183.5499992401</v>
      </c>
      <c r="L136" s="580">
        <v>1291777.20999908</v>
      </c>
      <c r="M136" s="580">
        <v>1510698.79000092</v>
      </c>
      <c r="N136" s="592">
        <v>1685452.07999992</v>
      </c>
      <c r="O136" s="580">
        <v>6864.7299999967199</v>
      </c>
      <c r="P136" s="580">
        <v>9798</v>
      </c>
      <c r="Q136" s="580">
        <v>11039</v>
      </c>
      <c r="R136" s="580">
        <v>14103</v>
      </c>
      <c r="S136" s="580">
        <v>16788.940000005099</v>
      </c>
      <c r="T136" s="580">
        <v>23511.560000009798</v>
      </c>
      <c r="U136" s="580">
        <v>20817.4599999934</v>
      </c>
      <c r="V136" s="580">
        <v>29369.4899999872</v>
      </c>
      <c r="W136" s="580">
        <v>31112.480000004201</v>
      </c>
      <c r="X136" s="580">
        <v>33020.660000026197</v>
      </c>
      <c r="Y136" s="580">
        <v>36296.230000019103</v>
      </c>
      <c r="Z136" s="592">
        <v>37243.279999971397</v>
      </c>
      <c r="AA136" s="580">
        <v>297373.34999988199</v>
      </c>
      <c r="AB136" s="580">
        <v>377256</v>
      </c>
      <c r="AC136" s="580">
        <v>438167</v>
      </c>
      <c r="AD136" s="580">
        <v>546426</v>
      </c>
      <c r="AE136" s="580">
        <v>692246.69000000495</v>
      </c>
      <c r="AF136" s="580">
        <v>801562.32000023895</v>
      </c>
      <c r="AG136" s="580">
        <v>874031.27000041294</v>
      </c>
      <c r="AH136" s="580">
        <v>1069269.91000006</v>
      </c>
      <c r="AI136" s="580">
        <v>1203296.0299992401</v>
      </c>
      <c r="AJ136" s="580">
        <v>1324797.86999911</v>
      </c>
      <c r="AK136" s="580">
        <v>1546995.0200009299</v>
      </c>
      <c r="AL136" s="592">
        <v>1722695.3599999</v>
      </c>
    </row>
    <row r="137" spans="1:38">
      <c r="B137" t="s">
        <v>6</v>
      </c>
      <c r="C137" s="580">
        <v>6631200</v>
      </c>
      <c r="D137" s="580">
        <v>7828080</v>
      </c>
      <c r="E137" s="580">
        <v>8727160</v>
      </c>
      <c r="F137" s="580">
        <v>11207100</v>
      </c>
      <c r="G137" s="580">
        <v>14730100</v>
      </c>
      <c r="H137" s="580">
        <v>16763320</v>
      </c>
      <c r="I137" s="580">
        <v>19031485</v>
      </c>
      <c r="J137" s="580">
        <v>22776630</v>
      </c>
      <c r="K137" s="580">
        <v>25195020</v>
      </c>
      <c r="L137" s="580">
        <v>26955700</v>
      </c>
      <c r="M137" s="580">
        <v>34218708</v>
      </c>
      <c r="N137" s="592">
        <v>37989018</v>
      </c>
      <c r="O137" s="580">
        <v>1555600</v>
      </c>
      <c r="P137" s="580">
        <v>1872720</v>
      </c>
      <c r="Q137" s="580">
        <v>2031900</v>
      </c>
      <c r="R137" s="580">
        <v>2404200</v>
      </c>
      <c r="S137" s="580">
        <v>2866150</v>
      </c>
      <c r="T137" s="580">
        <v>3117140</v>
      </c>
      <c r="U137" s="580">
        <v>3496375</v>
      </c>
      <c r="V137" s="580">
        <v>4138500</v>
      </c>
      <c r="W137" s="580">
        <v>4817460</v>
      </c>
      <c r="X137" s="580">
        <v>5471255</v>
      </c>
      <c r="Y137" s="580">
        <v>6615592</v>
      </c>
      <c r="Z137" s="592">
        <v>7517664</v>
      </c>
      <c r="AA137" s="580">
        <v>8186800</v>
      </c>
      <c r="AB137" s="580">
        <v>9700800</v>
      </c>
      <c r="AC137" s="580">
        <v>10759060</v>
      </c>
      <c r="AD137" s="580">
        <v>13611300</v>
      </c>
      <c r="AE137" s="580">
        <v>17596250</v>
      </c>
      <c r="AF137" s="580">
        <v>19880460</v>
      </c>
      <c r="AG137" s="580">
        <v>22527860</v>
      </c>
      <c r="AH137" s="580">
        <v>26915130</v>
      </c>
      <c r="AI137" s="580">
        <v>30012480</v>
      </c>
      <c r="AJ137" s="580">
        <v>32426955</v>
      </c>
      <c r="AK137" s="580">
        <v>40834300</v>
      </c>
      <c r="AL137" s="592">
        <v>45506682</v>
      </c>
    </row>
    <row r="138" spans="1:38">
      <c r="B138" t="s">
        <v>7</v>
      </c>
      <c r="C138" s="580">
        <v>10163072.2799988</v>
      </c>
      <c r="D138" s="580">
        <v>12658564</v>
      </c>
      <c r="E138" s="580">
        <v>14283196</v>
      </c>
      <c r="F138" s="580">
        <v>17182917</v>
      </c>
      <c r="G138" s="580">
        <v>20590829.630004901</v>
      </c>
      <c r="H138" s="580">
        <v>22696106.8900146</v>
      </c>
      <c r="I138" s="580">
        <v>25724763.089996301</v>
      </c>
      <c r="J138" s="580">
        <v>30532090.6099854</v>
      </c>
      <c r="K138" s="580">
        <v>35837269.880004898</v>
      </c>
      <c r="L138" s="580">
        <v>40954432.059997603</v>
      </c>
      <c r="M138" s="580">
        <v>49415328.679992698</v>
      </c>
      <c r="N138" s="592">
        <v>57318266</v>
      </c>
      <c r="O138" s="580">
        <v>274197.96000003797</v>
      </c>
      <c r="P138" s="580">
        <v>393836</v>
      </c>
      <c r="Q138" s="580">
        <v>452845</v>
      </c>
      <c r="R138" s="580">
        <v>504518</v>
      </c>
      <c r="S138" s="580">
        <v>514991.44999988598</v>
      </c>
      <c r="T138" s="580">
        <v>518326.45999998099</v>
      </c>
      <c r="U138" s="580">
        <v>529819.479999542</v>
      </c>
      <c r="V138" s="580">
        <v>530350.05000019097</v>
      </c>
      <c r="W138" s="580">
        <v>565460.65999984695</v>
      </c>
      <c r="X138" s="580">
        <v>589382.52999973297</v>
      </c>
      <c r="Y138" s="580">
        <v>597377.71000003803</v>
      </c>
      <c r="Z138" s="592">
        <v>636429.10999965703</v>
      </c>
      <c r="AA138" s="580">
        <v>10437270.239998801</v>
      </c>
      <c r="AB138" s="580">
        <v>13052400</v>
      </c>
      <c r="AC138" s="580">
        <v>14736041</v>
      </c>
      <c r="AD138" s="580">
        <v>17687435</v>
      </c>
      <c r="AE138" s="580">
        <v>21105821.0800048</v>
      </c>
      <c r="AF138" s="580">
        <v>23214433.350014601</v>
      </c>
      <c r="AG138" s="580">
        <v>26254582.569995899</v>
      </c>
      <c r="AH138" s="580">
        <v>31062440.659985501</v>
      </c>
      <c r="AI138" s="580">
        <v>36402730.5400047</v>
      </c>
      <c r="AJ138" s="580">
        <v>41543814.589997299</v>
      </c>
      <c r="AK138" s="580">
        <v>50012706.389992699</v>
      </c>
      <c r="AL138" s="592">
        <v>57954695.109999701</v>
      </c>
    </row>
    <row r="139" spans="1:38">
      <c r="B139" t="s">
        <v>8</v>
      </c>
      <c r="C139" s="580">
        <v>8404209.6799926795</v>
      </c>
      <c r="D139" s="580">
        <v>10998783</v>
      </c>
      <c r="E139" s="580">
        <v>12740114</v>
      </c>
      <c r="F139" s="580">
        <v>15220814</v>
      </c>
      <c r="G139" s="580">
        <v>17326634.5</v>
      </c>
      <c r="H139" s="580">
        <v>18630192.8999939</v>
      </c>
      <c r="I139" s="580">
        <v>20927709.130004901</v>
      </c>
      <c r="J139" s="580">
        <v>24001205.260009799</v>
      </c>
      <c r="K139" s="580">
        <v>27649156.8500061</v>
      </c>
      <c r="L139" s="580">
        <v>31790340.880004901</v>
      </c>
      <c r="M139" s="580">
        <v>36974544.5</v>
      </c>
      <c r="N139" s="592">
        <v>43247179.289977998</v>
      </c>
      <c r="O139" s="580">
        <v>100415.669999957</v>
      </c>
      <c r="P139" s="580">
        <v>149368</v>
      </c>
      <c r="Q139" s="580">
        <v>164616</v>
      </c>
      <c r="R139" s="580">
        <v>185430</v>
      </c>
      <c r="S139" s="580">
        <v>166315.97000002899</v>
      </c>
      <c r="T139" s="580">
        <v>156075.94000005699</v>
      </c>
      <c r="U139" s="580">
        <v>143530.91000008601</v>
      </c>
      <c r="V139" s="580">
        <v>144710.55999994301</v>
      </c>
      <c r="W139" s="580">
        <v>147424.619999886</v>
      </c>
      <c r="X139" s="580">
        <v>152418.33999991399</v>
      </c>
      <c r="Y139" s="580">
        <v>139782.33999991399</v>
      </c>
      <c r="Z139" s="592">
        <v>145331.33999991399</v>
      </c>
      <c r="AA139" s="580">
        <v>8504625.3499926291</v>
      </c>
      <c r="AB139" s="580">
        <v>11148151</v>
      </c>
      <c r="AC139" s="580">
        <v>12904730</v>
      </c>
      <c r="AD139" s="580">
        <v>15406244</v>
      </c>
      <c r="AE139" s="580">
        <v>17492950.469999999</v>
      </c>
      <c r="AF139" s="580">
        <v>18786268.839993998</v>
      </c>
      <c r="AG139" s="580">
        <v>21071240.040004998</v>
      </c>
      <c r="AH139" s="580">
        <v>24145915.820009701</v>
      </c>
      <c r="AI139" s="580">
        <v>27796581.470006</v>
      </c>
      <c r="AJ139" s="580">
        <v>31942759.220004801</v>
      </c>
      <c r="AK139" s="580">
        <v>37114326.839999899</v>
      </c>
      <c r="AL139" s="592">
        <v>43392510.629977897</v>
      </c>
    </row>
    <row r="140" spans="1:38">
      <c r="B140" t="s">
        <v>9</v>
      </c>
      <c r="C140" s="580">
        <v>5970132.5800018301</v>
      </c>
      <c r="D140" s="580">
        <v>7961058</v>
      </c>
      <c r="E140" s="580">
        <v>9499352</v>
      </c>
      <c r="F140" s="580">
        <v>11375137</v>
      </c>
      <c r="G140" s="580">
        <v>13101491.009994499</v>
      </c>
      <c r="H140" s="580">
        <v>14291466.3500061</v>
      </c>
      <c r="I140" s="580">
        <v>16262341.4400024</v>
      </c>
      <c r="J140" s="580">
        <v>19159463.130004901</v>
      </c>
      <c r="K140" s="580">
        <v>22309989.9599915</v>
      </c>
      <c r="L140" s="580">
        <v>25399100.380004901</v>
      </c>
      <c r="M140" s="580">
        <v>29721342.320007298</v>
      </c>
      <c r="N140" s="592">
        <v>36535888.669982903</v>
      </c>
      <c r="O140" s="580">
        <v>35129.370000004797</v>
      </c>
      <c r="P140" s="580">
        <v>55550</v>
      </c>
      <c r="Q140" s="580">
        <v>67816</v>
      </c>
      <c r="R140" s="580">
        <v>68741</v>
      </c>
      <c r="S140" s="580">
        <v>59442.120000004797</v>
      </c>
      <c r="T140" s="580">
        <v>55677.180000007203</v>
      </c>
      <c r="U140" s="580">
        <v>58849.709999978499</v>
      </c>
      <c r="V140" s="580">
        <v>57931.519999980897</v>
      </c>
      <c r="W140" s="580">
        <v>59078.25</v>
      </c>
      <c r="X140" s="580">
        <v>57415.410000026197</v>
      </c>
      <c r="Y140" s="580">
        <v>43975.2599999905</v>
      </c>
      <c r="Z140" s="592">
        <v>36089.2599999905</v>
      </c>
      <c r="AA140" s="580">
        <v>6005261.9500018395</v>
      </c>
      <c r="AB140" s="580">
        <v>8016608</v>
      </c>
      <c r="AC140" s="580">
        <v>9567168</v>
      </c>
      <c r="AD140" s="580">
        <v>11443878</v>
      </c>
      <c r="AE140" s="580">
        <v>13160933.1299945</v>
      </c>
      <c r="AF140" s="580">
        <v>14347143.530006099</v>
      </c>
      <c r="AG140" s="580">
        <v>16321191.150002399</v>
      </c>
      <c r="AH140" s="580">
        <v>19217394.650004901</v>
      </c>
      <c r="AI140" s="580">
        <v>22369068.2099915</v>
      </c>
      <c r="AJ140" s="580">
        <v>25456515.790004902</v>
      </c>
      <c r="AK140" s="580">
        <v>29765317.5800073</v>
      </c>
      <c r="AL140" s="592">
        <v>36571977.929982901</v>
      </c>
    </row>
    <row r="141" spans="1:38">
      <c r="B141" t="s">
        <v>10</v>
      </c>
      <c r="C141" s="580">
        <v>4967590.6500015296</v>
      </c>
      <c r="D141" s="580">
        <v>6643774</v>
      </c>
      <c r="E141" s="580">
        <v>7663987</v>
      </c>
      <c r="F141" s="580">
        <v>9788015</v>
      </c>
      <c r="G141" s="580">
        <v>11882118.660003699</v>
      </c>
      <c r="H141" s="580">
        <v>15469249.8200073</v>
      </c>
      <c r="I141" s="580">
        <v>18856533.380004901</v>
      </c>
      <c r="J141" s="580">
        <v>23169304.7999878</v>
      </c>
      <c r="K141" s="580">
        <v>25713846.0400085</v>
      </c>
      <c r="L141" s="580">
        <v>27800085.929992702</v>
      </c>
      <c r="M141" s="580">
        <v>31712337.239990201</v>
      </c>
      <c r="N141" s="592">
        <v>34518768.169982903</v>
      </c>
      <c r="O141" s="580">
        <v>18107.349999994</v>
      </c>
      <c r="P141" s="580">
        <v>28005</v>
      </c>
      <c r="Q141" s="580">
        <v>30938</v>
      </c>
      <c r="R141" s="580">
        <v>35755</v>
      </c>
      <c r="S141" s="580">
        <v>28924.370000004801</v>
      </c>
      <c r="T141" s="580">
        <v>19738.3199999928</v>
      </c>
      <c r="U141" s="580">
        <v>14230.2300000042</v>
      </c>
      <c r="V141" s="580">
        <v>12739.450000003</v>
      </c>
      <c r="W141" s="580">
        <v>13722.900000006</v>
      </c>
      <c r="X141" s="580">
        <v>12019.329999998199</v>
      </c>
      <c r="Y141" s="580">
        <v>8441.0499999970198</v>
      </c>
      <c r="Z141" s="592">
        <v>15088.2699999958</v>
      </c>
      <c r="AA141" s="580">
        <v>4985698.0000015199</v>
      </c>
      <c r="AB141" s="580">
        <v>6671779</v>
      </c>
      <c r="AC141" s="580">
        <v>7694925</v>
      </c>
      <c r="AD141" s="580">
        <v>9823770</v>
      </c>
      <c r="AE141" s="580">
        <v>11911043.0300037</v>
      </c>
      <c r="AF141" s="580">
        <v>15488988.1400073</v>
      </c>
      <c r="AG141" s="580">
        <v>18870763.610004898</v>
      </c>
      <c r="AH141" s="580">
        <v>23182044.2499878</v>
      </c>
      <c r="AI141" s="580">
        <v>25727568.940008599</v>
      </c>
      <c r="AJ141" s="580">
        <v>27812105.2599927</v>
      </c>
      <c r="AK141" s="580">
        <v>31720778.289990202</v>
      </c>
      <c r="AL141" s="592">
        <v>34533856.439982899</v>
      </c>
    </row>
    <row r="142" spans="1:38">
      <c r="B142" t="s">
        <v>11</v>
      </c>
      <c r="C142" s="580">
        <v>4706680.3700027503</v>
      </c>
      <c r="D142" s="580">
        <v>6428966</v>
      </c>
      <c r="E142" s="580">
        <v>7734832</v>
      </c>
      <c r="F142" s="580">
        <v>12597360</v>
      </c>
      <c r="G142" s="580">
        <v>15294095.1300049</v>
      </c>
      <c r="H142" s="580">
        <v>15662204.1999969</v>
      </c>
      <c r="I142" s="580">
        <v>15066204.660003699</v>
      </c>
      <c r="J142" s="580">
        <v>13651888.0299988</v>
      </c>
      <c r="K142" s="580">
        <v>15914380.4799957</v>
      </c>
      <c r="L142" s="580">
        <v>19004042</v>
      </c>
      <c r="M142" s="580">
        <v>13668522.75</v>
      </c>
      <c r="N142" s="592">
        <v>11873180.6199951</v>
      </c>
      <c r="O142" s="580">
        <v>12016.0400000066</v>
      </c>
      <c r="P142" s="580">
        <v>15590</v>
      </c>
      <c r="Q142" s="580">
        <v>15310</v>
      </c>
      <c r="R142" s="580">
        <v>7722</v>
      </c>
      <c r="S142" s="580">
        <v>5927.4900000020898</v>
      </c>
      <c r="T142" s="580">
        <v>6123.07999999821</v>
      </c>
      <c r="U142" s="580">
        <v>8844.6200000047702</v>
      </c>
      <c r="V142" s="580">
        <v>2558.3900000006001</v>
      </c>
      <c r="W142" s="580">
        <v>2755.8900000006001</v>
      </c>
      <c r="X142" s="580">
        <v>5672.7000000029802</v>
      </c>
      <c r="Y142" s="580">
        <v>3112.57999999821</v>
      </c>
      <c r="Z142" s="592">
        <v>0</v>
      </c>
      <c r="AA142" s="580">
        <v>4718696.4100027503</v>
      </c>
      <c r="AB142" s="580">
        <v>6444556</v>
      </c>
      <c r="AC142" s="580">
        <v>7750142</v>
      </c>
      <c r="AD142" s="580">
        <v>12605082</v>
      </c>
      <c r="AE142" s="580">
        <v>15300022.6200049</v>
      </c>
      <c r="AF142" s="580">
        <v>15668327.2799969</v>
      </c>
      <c r="AG142" s="580">
        <v>15075049.2800037</v>
      </c>
      <c r="AH142" s="580">
        <v>13654446.4199988</v>
      </c>
      <c r="AI142" s="580">
        <v>15917136.3699957</v>
      </c>
      <c r="AJ142" s="580">
        <v>19009714.699999999</v>
      </c>
      <c r="AK142" s="580">
        <v>13671635.33</v>
      </c>
      <c r="AL142" s="592">
        <v>11873180.6199951</v>
      </c>
    </row>
    <row r="143" spans="1:38">
      <c r="B143" t="s">
        <v>12</v>
      </c>
      <c r="C143" s="580">
        <v>6415443.8199996902</v>
      </c>
      <c r="D143" s="580">
        <v>8474084</v>
      </c>
      <c r="E143" s="580">
        <v>10647634</v>
      </c>
      <c r="F143" s="580">
        <v>9911870</v>
      </c>
      <c r="G143" s="580">
        <v>7181193.2200012198</v>
      </c>
      <c r="H143" s="580">
        <v>3837211.4500007601</v>
      </c>
      <c r="I143" s="580">
        <v>3384582.5999984699</v>
      </c>
      <c r="J143" s="580">
        <v>1945629.1299991601</v>
      </c>
      <c r="K143" s="580">
        <v>1512746.3700008399</v>
      </c>
      <c r="L143" s="580">
        <v>1794357.1900005301</v>
      </c>
      <c r="M143" s="580">
        <v>1272444.1800003101</v>
      </c>
      <c r="N143" s="592">
        <v>1190380.5599994699</v>
      </c>
      <c r="O143" s="580">
        <v>1225.41999999993</v>
      </c>
      <c r="P143" s="580">
        <v>3143</v>
      </c>
      <c r="Q143" s="580">
        <v>5307</v>
      </c>
      <c r="R143" s="580">
        <v>5645</v>
      </c>
      <c r="S143" s="580">
        <v>0</v>
      </c>
      <c r="T143" s="580">
        <v>0</v>
      </c>
      <c r="U143" s="580">
        <v>0</v>
      </c>
      <c r="V143" s="580">
        <v>0</v>
      </c>
      <c r="W143" s="580">
        <v>0</v>
      </c>
      <c r="X143" s="580">
        <v>0</v>
      </c>
      <c r="Y143" s="580">
        <v>0</v>
      </c>
      <c r="Z143" s="592">
        <v>0</v>
      </c>
      <c r="AA143" s="580">
        <v>6416669.2399996901</v>
      </c>
      <c r="AB143" s="580">
        <v>8477227</v>
      </c>
      <c r="AC143" s="580">
        <v>10652941</v>
      </c>
      <c r="AD143" s="580">
        <v>9917515</v>
      </c>
      <c r="AE143" s="580">
        <v>7181193.2200012198</v>
      </c>
      <c r="AF143" s="580">
        <v>3837211.4500007601</v>
      </c>
      <c r="AG143" s="580">
        <v>3384582.5999984699</v>
      </c>
      <c r="AH143" s="580">
        <v>1945629.1299991601</v>
      </c>
      <c r="AI143" s="580">
        <v>1512746.3700008399</v>
      </c>
      <c r="AJ143" s="580">
        <v>1794357.1900005301</v>
      </c>
      <c r="AK143" s="580">
        <v>1272444.1800003101</v>
      </c>
      <c r="AL143" s="592">
        <v>1190380.5599994699</v>
      </c>
    </row>
    <row r="144" spans="1:38">
      <c r="B144" t="s">
        <v>13</v>
      </c>
      <c r="C144" s="580">
        <v>2492361.2200012198</v>
      </c>
      <c r="D144" s="580">
        <v>4231727</v>
      </c>
      <c r="E144" s="580">
        <v>4415505</v>
      </c>
      <c r="F144" s="580">
        <v>2561434</v>
      </c>
      <c r="G144" s="580">
        <v>582234.39000034297</v>
      </c>
      <c r="H144" s="580">
        <v>539284.020000458</v>
      </c>
      <c r="I144" s="580">
        <v>627851.399999619</v>
      </c>
      <c r="J144" s="580">
        <v>251455.99000001</v>
      </c>
      <c r="K144" s="580">
        <v>216044.799999952</v>
      </c>
      <c r="L144" s="580">
        <v>222797.68000006699</v>
      </c>
      <c r="M144" s="580">
        <v>177531.700000048</v>
      </c>
      <c r="N144" s="592">
        <v>219468.369999886</v>
      </c>
      <c r="O144" s="580">
        <v>4241.4699999988097</v>
      </c>
      <c r="P144" s="580">
        <v>3401</v>
      </c>
      <c r="Q144" s="580">
        <v>0</v>
      </c>
      <c r="R144" s="580">
        <v>0</v>
      </c>
      <c r="S144" s="580">
        <v>0</v>
      </c>
      <c r="T144" s="580">
        <v>0</v>
      </c>
      <c r="U144" s="580">
        <v>0</v>
      </c>
      <c r="V144" s="580">
        <v>0</v>
      </c>
      <c r="W144" s="580">
        <v>0</v>
      </c>
      <c r="X144" s="580">
        <v>0</v>
      </c>
      <c r="Y144" s="580">
        <v>0</v>
      </c>
      <c r="Z144" s="592">
        <v>0</v>
      </c>
      <c r="AA144" s="580">
        <v>2496602.69000122</v>
      </c>
      <c r="AB144" s="580">
        <v>4235128</v>
      </c>
      <c r="AC144" s="580">
        <v>4415505</v>
      </c>
      <c r="AD144" s="580">
        <v>2561434</v>
      </c>
      <c r="AE144" s="580">
        <v>582234.39000034297</v>
      </c>
      <c r="AF144" s="580">
        <v>539284.020000458</v>
      </c>
      <c r="AG144" s="580">
        <v>627851.399999619</v>
      </c>
      <c r="AH144" s="580">
        <v>251455.99000001</v>
      </c>
      <c r="AI144" s="580">
        <v>216044.799999952</v>
      </c>
      <c r="AJ144" s="580">
        <v>222797.68000006699</v>
      </c>
      <c r="AK144" s="580">
        <v>177531.700000048</v>
      </c>
      <c r="AL144" s="592">
        <v>219468.369999886</v>
      </c>
    </row>
    <row r="145" spans="1:38">
      <c r="B145" t="s">
        <v>14</v>
      </c>
      <c r="C145" s="580">
        <v>295285.579999924</v>
      </c>
      <c r="D145" s="580">
        <v>358013</v>
      </c>
      <c r="E145" s="580">
        <v>602269</v>
      </c>
      <c r="F145" s="580">
        <v>419742</v>
      </c>
      <c r="G145" s="580">
        <v>359693.96000003797</v>
      </c>
      <c r="H145" s="580">
        <v>201086.47000002899</v>
      </c>
      <c r="I145" s="580">
        <v>178493.50999999</v>
      </c>
      <c r="J145" s="580">
        <v>181956.16000008601</v>
      </c>
      <c r="K145" s="580">
        <v>186938.5</v>
      </c>
      <c r="L145" s="580">
        <v>185985.99000001</v>
      </c>
      <c r="M145" s="580">
        <v>196280.80999994301</v>
      </c>
      <c r="N145" s="592">
        <v>150168.83999991399</v>
      </c>
      <c r="O145" s="580">
        <v>0</v>
      </c>
      <c r="P145" s="580">
        <v>0</v>
      </c>
      <c r="Q145" s="580">
        <v>0</v>
      </c>
      <c r="R145" s="580">
        <v>0</v>
      </c>
      <c r="S145" s="580">
        <v>0</v>
      </c>
      <c r="T145" s="580">
        <v>0</v>
      </c>
      <c r="U145" s="580">
        <v>0</v>
      </c>
      <c r="V145" s="580">
        <v>0</v>
      </c>
      <c r="W145" s="580">
        <v>0</v>
      </c>
      <c r="X145" s="580">
        <v>0</v>
      </c>
      <c r="Y145" s="580">
        <v>0</v>
      </c>
      <c r="Z145" s="592">
        <v>0</v>
      </c>
      <c r="AA145" s="580">
        <v>295285.579999924</v>
      </c>
      <c r="AB145" s="580">
        <v>358013</v>
      </c>
      <c r="AC145" s="580">
        <v>602269</v>
      </c>
      <c r="AD145" s="580">
        <v>419742</v>
      </c>
      <c r="AE145" s="580">
        <v>359693.96000003797</v>
      </c>
      <c r="AF145" s="580">
        <v>201086.47000002899</v>
      </c>
      <c r="AG145" s="580">
        <v>178493.50999999</v>
      </c>
      <c r="AH145" s="580">
        <v>181956.16000008601</v>
      </c>
      <c r="AI145" s="580">
        <v>186938.5</v>
      </c>
      <c r="AJ145" s="580">
        <v>185985.99000001</v>
      </c>
      <c r="AK145" s="580">
        <v>196280.80999994301</v>
      </c>
      <c r="AL145" s="592">
        <v>150168.83999991399</v>
      </c>
    </row>
    <row r="146" spans="1:38">
      <c r="B146" t="s">
        <v>15</v>
      </c>
      <c r="C146" s="580">
        <v>233994.22000002899</v>
      </c>
      <c r="D146" s="580">
        <v>267074</v>
      </c>
      <c r="E146" s="580">
        <v>336814</v>
      </c>
      <c r="F146" s="580">
        <v>209310</v>
      </c>
      <c r="G146" s="580">
        <v>142905.90000009499</v>
      </c>
      <c r="H146" s="580">
        <v>166425.76999998101</v>
      </c>
      <c r="I146" s="580">
        <v>128876.600000024</v>
      </c>
      <c r="J146" s="580">
        <v>115151.25</v>
      </c>
      <c r="K146" s="580">
        <v>106408.25999999</v>
      </c>
      <c r="L146" s="580">
        <v>113246.029999971</v>
      </c>
      <c r="M146" s="580">
        <v>30134.870000004801</v>
      </c>
      <c r="N146" s="592">
        <v>26322.639999985699</v>
      </c>
      <c r="O146" s="580">
        <v>0</v>
      </c>
      <c r="P146" s="580">
        <v>0</v>
      </c>
      <c r="Q146" s="580">
        <v>0</v>
      </c>
      <c r="R146" s="580">
        <v>0</v>
      </c>
      <c r="S146" s="580">
        <v>0</v>
      </c>
      <c r="T146" s="580">
        <v>0</v>
      </c>
      <c r="U146" s="580">
        <v>0</v>
      </c>
      <c r="V146" s="580">
        <v>0</v>
      </c>
      <c r="W146" s="580">
        <v>0</v>
      </c>
      <c r="X146" s="580">
        <v>0</v>
      </c>
      <c r="Y146" s="580">
        <v>0</v>
      </c>
      <c r="Z146" s="592">
        <v>0</v>
      </c>
      <c r="AA146" s="580">
        <v>233994.22000002899</v>
      </c>
      <c r="AB146" s="580">
        <v>267074</v>
      </c>
      <c r="AC146" s="580">
        <v>336814</v>
      </c>
      <c r="AD146" s="580">
        <v>209310</v>
      </c>
      <c r="AE146" s="580">
        <v>142905.90000009499</v>
      </c>
      <c r="AF146" s="580">
        <v>166425.76999998101</v>
      </c>
      <c r="AG146" s="580">
        <v>128876.600000024</v>
      </c>
      <c r="AH146" s="580">
        <v>115151.25</v>
      </c>
      <c r="AI146" s="580">
        <v>106408.25999999</v>
      </c>
      <c r="AJ146" s="580">
        <v>113246.029999971</v>
      </c>
      <c r="AK146" s="580">
        <v>30134.870000004801</v>
      </c>
      <c r="AL146" s="592">
        <v>26322.639999985699</v>
      </c>
    </row>
    <row r="147" spans="1:38">
      <c r="B147" t="s">
        <v>16</v>
      </c>
      <c r="C147" s="580">
        <v>471017.88000011398</v>
      </c>
      <c r="D147" s="580">
        <v>539274</v>
      </c>
      <c r="E147" s="580">
        <v>480338</v>
      </c>
      <c r="F147" s="580">
        <v>373249</v>
      </c>
      <c r="G147" s="580">
        <v>281642.24999993999</v>
      </c>
      <c r="H147" s="580">
        <v>202256.88999996299</v>
      </c>
      <c r="I147" s="580">
        <v>191703.70000000301</v>
      </c>
      <c r="J147" s="580">
        <v>134420.65999995201</v>
      </c>
      <c r="K147" s="580">
        <v>126789.95000000999</v>
      </c>
      <c r="L147" s="580">
        <v>126887.889999986</v>
      </c>
      <c r="M147" s="580">
        <v>103860.850000024</v>
      </c>
      <c r="N147" s="592">
        <v>88105.289999961897</v>
      </c>
      <c r="O147" s="580">
        <v>0</v>
      </c>
      <c r="P147" s="580">
        <v>0</v>
      </c>
      <c r="Q147" s="580">
        <v>0</v>
      </c>
      <c r="R147" s="580">
        <v>0</v>
      </c>
      <c r="S147" s="580">
        <v>0</v>
      </c>
      <c r="T147" s="580">
        <v>0</v>
      </c>
      <c r="U147" s="580">
        <v>0</v>
      </c>
      <c r="V147" s="580">
        <v>0</v>
      </c>
      <c r="W147" s="580">
        <v>0</v>
      </c>
      <c r="X147" s="580">
        <v>0</v>
      </c>
      <c r="Y147" s="580">
        <v>0</v>
      </c>
      <c r="Z147" s="592">
        <v>0</v>
      </c>
      <c r="AA147" s="580">
        <v>471017.88000011398</v>
      </c>
      <c r="AB147" s="580">
        <v>539274</v>
      </c>
      <c r="AC147" s="580">
        <v>480338</v>
      </c>
      <c r="AD147" s="580">
        <v>373249</v>
      </c>
      <c r="AE147" s="580">
        <v>281642.24999993999</v>
      </c>
      <c r="AF147" s="580">
        <v>202256.88999996299</v>
      </c>
      <c r="AG147" s="580">
        <v>191703.70000000301</v>
      </c>
      <c r="AH147" s="580">
        <v>134420.65999995201</v>
      </c>
      <c r="AI147" s="580">
        <v>126789.95000000999</v>
      </c>
      <c r="AJ147" s="580">
        <v>126887.889999986</v>
      </c>
      <c r="AK147" s="580">
        <v>103860.850000024</v>
      </c>
      <c r="AL147" s="592">
        <v>88105.289999961897</v>
      </c>
    </row>
    <row r="148" spans="1:38">
      <c r="B148" t="s">
        <v>17</v>
      </c>
      <c r="C148" s="580">
        <v>17932.860000014301</v>
      </c>
      <c r="D148" s="580">
        <v>21901</v>
      </c>
      <c r="E148" s="580">
        <v>23538</v>
      </c>
      <c r="F148" s="580">
        <v>25034</v>
      </c>
      <c r="G148" s="580">
        <v>0</v>
      </c>
      <c r="H148" s="580">
        <v>0</v>
      </c>
      <c r="I148" s="580">
        <v>0</v>
      </c>
      <c r="J148" s="580">
        <v>0</v>
      </c>
      <c r="K148" s="580">
        <v>0</v>
      </c>
      <c r="L148" s="580">
        <v>0</v>
      </c>
      <c r="M148" s="580">
        <v>0</v>
      </c>
      <c r="N148" s="592">
        <v>0</v>
      </c>
      <c r="O148" s="580">
        <v>0</v>
      </c>
      <c r="P148" s="580">
        <v>0</v>
      </c>
      <c r="Q148" s="580">
        <v>0</v>
      </c>
      <c r="R148" s="580">
        <v>0</v>
      </c>
      <c r="S148" s="580">
        <v>0</v>
      </c>
      <c r="T148" s="580">
        <v>0</v>
      </c>
      <c r="U148" s="580">
        <v>0</v>
      </c>
      <c r="V148" s="580">
        <v>0</v>
      </c>
      <c r="W148" s="580">
        <v>0</v>
      </c>
      <c r="X148" s="580">
        <v>0</v>
      </c>
      <c r="Y148" s="580">
        <v>0</v>
      </c>
      <c r="Z148" s="592">
        <v>0</v>
      </c>
      <c r="AA148" s="580">
        <v>17932.860000014301</v>
      </c>
      <c r="AB148" s="580">
        <v>21901</v>
      </c>
      <c r="AC148" s="580">
        <v>23538</v>
      </c>
      <c r="AD148" s="580">
        <v>25034</v>
      </c>
      <c r="AE148" s="580">
        <v>0</v>
      </c>
      <c r="AF148" s="580">
        <v>0</v>
      </c>
      <c r="AG148" s="580">
        <v>0</v>
      </c>
      <c r="AH148" s="580">
        <v>0</v>
      </c>
      <c r="AI148" s="580">
        <v>0</v>
      </c>
      <c r="AJ148" s="580">
        <v>0</v>
      </c>
      <c r="AK148" s="580">
        <v>0</v>
      </c>
      <c r="AL148" s="592">
        <v>0</v>
      </c>
    </row>
    <row r="149" spans="1:38">
      <c r="A149" s="104" t="s">
        <v>76</v>
      </c>
      <c r="B149" t="s">
        <v>3</v>
      </c>
      <c r="C149" s="580">
        <v>54898403.790008999</v>
      </c>
      <c r="D149" s="580">
        <v>66348351</v>
      </c>
      <c r="E149" s="580">
        <v>70759151</v>
      </c>
      <c r="F149" s="580">
        <v>76621399</v>
      </c>
      <c r="G149" s="580">
        <v>82053148.340005398</v>
      </c>
      <c r="H149" s="580">
        <v>85826932.880020201</v>
      </c>
      <c r="I149" s="580">
        <v>90838842.500007704</v>
      </c>
      <c r="J149" s="580">
        <v>97080080.130013496</v>
      </c>
      <c r="K149" s="580">
        <v>104512614.990008</v>
      </c>
      <c r="L149" s="580">
        <v>110804109.080018</v>
      </c>
      <c r="M149" s="580">
        <v>118796487.50999901</v>
      </c>
      <c r="N149" s="592">
        <v>126611920.089977</v>
      </c>
      <c r="O149" s="580">
        <v>1038666.46999989</v>
      </c>
      <c r="P149" s="580">
        <v>1260052</v>
      </c>
      <c r="Q149" s="580">
        <v>1362959</v>
      </c>
      <c r="R149" s="580">
        <v>1546339</v>
      </c>
      <c r="S149" s="580">
        <v>1744907.48999977</v>
      </c>
      <c r="T149" s="580">
        <v>1861741.93999985</v>
      </c>
      <c r="U149" s="580">
        <v>2012315.7200000801</v>
      </c>
      <c r="V149" s="580">
        <v>2208175.85999989</v>
      </c>
      <c r="W149" s="580">
        <v>2391985.7499998999</v>
      </c>
      <c r="X149" s="580">
        <v>2523666.3799997298</v>
      </c>
      <c r="Y149" s="580">
        <v>2799693.0100000501</v>
      </c>
      <c r="Z149" s="592">
        <v>3003074.0200000401</v>
      </c>
      <c r="AA149" s="580">
        <v>55937070.260008797</v>
      </c>
      <c r="AB149" s="580">
        <v>67608403</v>
      </c>
      <c r="AC149" s="580">
        <v>72122110</v>
      </c>
      <c r="AD149" s="580">
        <v>78167738</v>
      </c>
      <c r="AE149" s="580">
        <v>83798055.830005199</v>
      </c>
      <c r="AF149" s="580">
        <v>87688674.820020095</v>
      </c>
      <c r="AG149" s="580">
        <v>92851158.220007703</v>
      </c>
      <c r="AH149" s="580">
        <v>99288255.990013406</v>
      </c>
      <c r="AI149" s="580">
        <v>106904600.740008</v>
      </c>
      <c r="AJ149" s="580">
        <v>113327775.460017</v>
      </c>
      <c r="AK149" s="580">
        <v>121596180.519999</v>
      </c>
      <c r="AL149" s="592">
        <v>129614994.10997701</v>
      </c>
    </row>
    <row r="150" spans="1:38">
      <c r="B150" t="s">
        <v>5</v>
      </c>
      <c r="C150" s="580">
        <v>486470.590000153</v>
      </c>
      <c r="D150" s="580">
        <v>568695</v>
      </c>
      <c r="E150" s="580">
        <v>636589</v>
      </c>
      <c r="F150" s="580">
        <v>755797</v>
      </c>
      <c r="G150" s="580">
        <v>925876.69999980903</v>
      </c>
      <c r="H150" s="580">
        <v>1034779.3599996601</v>
      </c>
      <c r="I150" s="580">
        <v>1139409.8999996199</v>
      </c>
      <c r="J150" s="580">
        <v>1302779.48999977</v>
      </c>
      <c r="K150" s="580">
        <v>1394489.3099994699</v>
      </c>
      <c r="L150" s="580">
        <v>1453139.5200004601</v>
      </c>
      <c r="M150" s="580">
        <v>1665828.7700004601</v>
      </c>
      <c r="N150" s="592">
        <v>1784531.2700004601</v>
      </c>
      <c r="O150" s="580">
        <v>15572.439999997599</v>
      </c>
      <c r="P150" s="580">
        <v>18377</v>
      </c>
      <c r="Q150" s="580">
        <v>19765</v>
      </c>
      <c r="R150" s="580">
        <v>23769</v>
      </c>
      <c r="S150" s="580">
        <v>30013.449999999299</v>
      </c>
      <c r="T150" s="580">
        <v>31877.599999994</v>
      </c>
      <c r="U150" s="580">
        <v>33920.579999990798</v>
      </c>
      <c r="V150" s="580">
        <v>34965.199999988101</v>
      </c>
      <c r="W150" s="580">
        <v>36946.25</v>
      </c>
      <c r="X150" s="580">
        <v>36371.069999992797</v>
      </c>
      <c r="Y150" s="580">
        <v>38846.769999980897</v>
      </c>
      <c r="Z150" s="592">
        <v>38758.350000023798</v>
      </c>
      <c r="AA150" s="580">
        <v>502043.03000015003</v>
      </c>
      <c r="AB150" s="580">
        <v>587072</v>
      </c>
      <c r="AC150" s="580">
        <v>656354</v>
      </c>
      <c r="AD150" s="580">
        <v>779566</v>
      </c>
      <c r="AE150" s="580">
        <v>955890.14999980899</v>
      </c>
      <c r="AF150" s="580">
        <v>1066656.95999965</v>
      </c>
      <c r="AG150" s="580">
        <v>1173330.47999961</v>
      </c>
      <c r="AH150" s="580">
        <v>1337744.6899997599</v>
      </c>
      <c r="AI150" s="580">
        <v>1431435.5599994699</v>
      </c>
      <c r="AJ150" s="580">
        <v>1489510.5900004499</v>
      </c>
      <c r="AK150" s="580">
        <v>1704675.5400004401</v>
      </c>
      <c r="AL150" s="592">
        <v>1823289.62000048</v>
      </c>
    </row>
    <row r="151" spans="1:38">
      <c r="B151" t="s">
        <v>6</v>
      </c>
      <c r="C151" s="580">
        <v>6467000</v>
      </c>
      <c r="D151" s="580">
        <v>7636800</v>
      </c>
      <c r="E151" s="580">
        <v>8555820</v>
      </c>
      <c r="F151" s="580">
        <v>11037300</v>
      </c>
      <c r="G151" s="580">
        <v>14625450</v>
      </c>
      <c r="H151" s="580">
        <v>16662620</v>
      </c>
      <c r="I151" s="580">
        <v>18778750</v>
      </c>
      <c r="J151" s="580">
        <v>22242810</v>
      </c>
      <c r="K151" s="580">
        <v>24460110</v>
      </c>
      <c r="L151" s="580">
        <v>25694025</v>
      </c>
      <c r="M151" s="580">
        <v>31333872</v>
      </c>
      <c r="N151" s="592">
        <v>34028142</v>
      </c>
      <c r="O151" s="580">
        <v>719800</v>
      </c>
      <c r="P151" s="580">
        <v>851760</v>
      </c>
      <c r="Q151" s="580">
        <v>915460</v>
      </c>
      <c r="R151" s="580">
        <v>1064700</v>
      </c>
      <c r="S151" s="580">
        <v>1257900</v>
      </c>
      <c r="T151" s="580">
        <v>1356600</v>
      </c>
      <c r="U151" s="580">
        <v>1485285</v>
      </c>
      <c r="V151" s="580">
        <v>1670280</v>
      </c>
      <c r="W151" s="580">
        <v>1813560</v>
      </c>
      <c r="X151" s="580">
        <v>1908045</v>
      </c>
      <c r="Y151" s="580">
        <v>2187574</v>
      </c>
      <c r="Z151" s="592">
        <v>2349270</v>
      </c>
      <c r="AA151" s="580">
        <v>7186800</v>
      </c>
      <c r="AB151" s="580">
        <v>8488560</v>
      </c>
      <c r="AC151" s="580">
        <v>9471280</v>
      </c>
      <c r="AD151" s="580">
        <v>12102000</v>
      </c>
      <c r="AE151" s="580">
        <v>15883350</v>
      </c>
      <c r="AF151" s="580">
        <v>18019220</v>
      </c>
      <c r="AG151" s="580">
        <v>20264035</v>
      </c>
      <c r="AH151" s="580">
        <v>23913090</v>
      </c>
      <c r="AI151" s="580">
        <v>26273670</v>
      </c>
      <c r="AJ151" s="580">
        <v>27602070</v>
      </c>
      <c r="AK151" s="580">
        <v>33521446</v>
      </c>
      <c r="AL151" s="592">
        <v>36377412</v>
      </c>
    </row>
    <row r="152" spans="1:38">
      <c r="B152" t="s">
        <v>7</v>
      </c>
      <c r="C152" s="580">
        <v>12828411.3800049</v>
      </c>
      <c r="D152" s="580">
        <v>15350711</v>
      </c>
      <c r="E152" s="580">
        <v>16607674</v>
      </c>
      <c r="F152" s="580">
        <v>19016793</v>
      </c>
      <c r="G152" s="580">
        <v>21552481.380004901</v>
      </c>
      <c r="H152" s="580">
        <v>23101395.3900146</v>
      </c>
      <c r="I152" s="580">
        <v>24722016.2900085</v>
      </c>
      <c r="J152" s="580">
        <v>26750475.2900085</v>
      </c>
      <c r="K152" s="580">
        <v>28976953.6900024</v>
      </c>
      <c r="L152" s="580">
        <v>30704754.630004901</v>
      </c>
      <c r="M152" s="580">
        <v>33419365.2999878</v>
      </c>
      <c r="N152" s="592">
        <v>35706366.539977998</v>
      </c>
      <c r="O152" s="580">
        <v>157570.30999994301</v>
      </c>
      <c r="P152" s="580">
        <v>202713</v>
      </c>
      <c r="Q152" s="580">
        <v>223067</v>
      </c>
      <c r="R152" s="580">
        <v>255011</v>
      </c>
      <c r="S152" s="580">
        <v>277926.239999771</v>
      </c>
      <c r="T152" s="580">
        <v>296413.909999847</v>
      </c>
      <c r="U152" s="580">
        <v>325024.13000011398</v>
      </c>
      <c r="V152" s="580">
        <v>342553.61999988602</v>
      </c>
      <c r="W152" s="580">
        <v>366364.329999924</v>
      </c>
      <c r="X152" s="580">
        <v>391908.42999982799</v>
      </c>
      <c r="Y152" s="580">
        <v>404524.46000003797</v>
      </c>
      <c r="Z152" s="592">
        <v>450805.48000001902</v>
      </c>
      <c r="AA152" s="580">
        <v>12985981.6900048</v>
      </c>
      <c r="AB152" s="580">
        <v>15553424</v>
      </c>
      <c r="AC152" s="580">
        <v>16830741</v>
      </c>
      <c r="AD152" s="580">
        <v>19271804</v>
      </c>
      <c r="AE152" s="580">
        <v>21830407.620004699</v>
      </c>
      <c r="AF152" s="580">
        <v>23397809.3000145</v>
      </c>
      <c r="AG152" s="580">
        <v>25047040.4200087</v>
      </c>
      <c r="AH152" s="580">
        <v>27093028.910008401</v>
      </c>
      <c r="AI152" s="580">
        <v>29343318.020002399</v>
      </c>
      <c r="AJ152" s="580">
        <v>31096663.0600047</v>
      </c>
      <c r="AK152" s="580">
        <v>33823889.759987801</v>
      </c>
      <c r="AL152" s="592">
        <v>36157172.019978002</v>
      </c>
    </row>
    <row r="153" spans="1:38">
      <c r="B153" t="s">
        <v>8</v>
      </c>
      <c r="C153" s="580">
        <v>10053896.8500061</v>
      </c>
      <c r="D153" s="580">
        <v>12215304</v>
      </c>
      <c r="E153" s="580">
        <v>12878087</v>
      </c>
      <c r="F153" s="580">
        <v>13827481</v>
      </c>
      <c r="G153" s="580">
        <v>14546876.839996301</v>
      </c>
      <c r="H153" s="580">
        <v>14886099.4700012</v>
      </c>
      <c r="I153" s="580">
        <v>15629250.589996301</v>
      </c>
      <c r="J153" s="580">
        <v>16310343.3200073</v>
      </c>
      <c r="K153" s="580">
        <v>17463531.8900146</v>
      </c>
      <c r="L153" s="580">
        <v>18646966.410003699</v>
      </c>
      <c r="M153" s="580">
        <v>19990153.570007298</v>
      </c>
      <c r="N153" s="592">
        <v>21449953.380004901</v>
      </c>
      <c r="O153" s="580">
        <v>76319.419999957099</v>
      </c>
      <c r="P153" s="580">
        <v>96932</v>
      </c>
      <c r="Q153" s="580">
        <v>114075</v>
      </c>
      <c r="R153" s="580">
        <v>126487</v>
      </c>
      <c r="S153" s="580">
        <v>113471.850000024</v>
      </c>
      <c r="T153" s="580">
        <v>121270.110000014</v>
      </c>
      <c r="U153" s="580">
        <v>119828.279999971</v>
      </c>
      <c r="V153" s="580">
        <v>117403.75</v>
      </c>
      <c r="W153" s="580">
        <v>133355.77999997101</v>
      </c>
      <c r="X153" s="580">
        <v>141236.08999991399</v>
      </c>
      <c r="Y153" s="580">
        <v>130528.470000029</v>
      </c>
      <c r="Z153" s="592">
        <v>127131.399999976</v>
      </c>
      <c r="AA153" s="580">
        <v>10130216.2700061</v>
      </c>
      <c r="AB153" s="580">
        <v>12312236</v>
      </c>
      <c r="AC153" s="580">
        <v>12992162</v>
      </c>
      <c r="AD153" s="580">
        <v>13953968</v>
      </c>
      <c r="AE153" s="580">
        <v>14660348.689996401</v>
      </c>
      <c r="AF153" s="580">
        <v>15007369.5800012</v>
      </c>
      <c r="AG153" s="580">
        <v>15749078.8699963</v>
      </c>
      <c r="AH153" s="580">
        <v>16427747.0700073</v>
      </c>
      <c r="AI153" s="580">
        <v>17596887.670014601</v>
      </c>
      <c r="AJ153" s="580">
        <v>18788202.500003599</v>
      </c>
      <c r="AK153" s="580">
        <v>20120682.040007401</v>
      </c>
      <c r="AL153" s="592">
        <v>21577084.7800049</v>
      </c>
    </row>
    <row r="154" spans="1:38">
      <c r="B154" t="s">
        <v>9</v>
      </c>
      <c r="C154" s="580">
        <v>6528411.0800018301</v>
      </c>
      <c r="D154" s="580">
        <v>7988554</v>
      </c>
      <c r="E154" s="580">
        <v>8577063</v>
      </c>
      <c r="F154" s="580">
        <v>8960233</v>
      </c>
      <c r="G154" s="580">
        <v>9506676.3800048791</v>
      </c>
      <c r="H154" s="580">
        <v>9885699.4400024395</v>
      </c>
      <c r="I154" s="580">
        <v>10215489.5500031</v>
      </c>
      <c r="J154" s="580">
        <v>10731648.0200043</v>
      </c>
      <c r="K154" s="580">
        <v>11493921.0599976</v>
      </c>
      <c r="L154" s="580">
        <v>12279399.6000061</v>
      </c>
      <c r="M154" s="580">
        <v>11993014.25</v>
      </c>
      <c r="N154" s="592">
        <v>13402622.169998201</v>
      </c>
      <c r="O154" s="580">
        <v>43366.319999992797</v>
      </c>
      <c r="P154" s="580">
        <v>59820</v>
      </c>
      <c r="Q154" s="580">
        <v>57303</v>
      </c>
      <c r="R154" s="580">
        <v>45808</v>
      </c>
      <c r="S154" s="580">
        <v>40765.839999973803</v>
      </c>
      <c r="T154" s="580">
        <v>29930.879999995199</v>
      </c>
      <c r="U154" s="580">
        <v>26312.969999998801</v>
      </c>
      <c r="V154" s="580">
        <v>21507.0200000107</v>
      </c>
      <c r="W154" s="580">
        <v>22677.099999994</v>
      </c>
      <c r="X154" s="580">
        <v>25788.919999986902</v>
      </c>
      <c r="Y154" s="580">
        <v>18985.7599999905</v>
      </c>
      <c r="Z154" s="592">
        <v>19283.830000013098</v>
      </c>
      <c r="AA154" s="580">
        <v>6571777.4000018202</v>
      </c>
      <c r="AB154" s="580">
        <v>8048374</v>
      </c>
      <c r="AC154" s="580">
        <v>8634366</v>
      </c>
      <c r="AD154" s="580">
        <v>9006041</v>
      </c>
      <c r="AE154" s="580">
        <v>9547442.2200048603</v>
      </c>
      <c r="AF154" s="580">
        <v>9915630.3200024404</v>
      </c>
      <c r="AG154" s="580">
        <v>10241802.520003101</v>
      </c>
      <c r="AH154" s="580">
        <v>10753155.0400043</v>
      </c>
      <c r="AI154" s="580">
        <v>11516598.159997599</v>
      </c>
      <c r="AJ154" s="580">
        <v>12305188.5200061</v>
      </c>
      <c r="AK154" s="580">
        <v>12012000.01</v>
      </c>
      <c r="AL154" s="592">
        <v>13421905.999998201</v>
      </c>
    </row>
    <row r="155" spans="1:38">
      <c r="B155" t="s">
        <v>10</v>
      </c>
      <c r="C155" s="580">
        <v>4858001.98999786</v>
      </c>
      <c r="D155" s="580">
        <v>5967093</v>
      </c>
      <c r="E155" s="580">
        <v>6317855</v>
      </c>
      <c r="F155" s="580">
        <v>6763091</v>
      </c>
      <c r="G155" s="580">
        <v>6394243.9100036602</v>
      </c>
      <c r="H155" s="580">
        <v>7066460.3899993896</v>
      </c>
      <c r="I155" s="580">
        <v>7837653.5999984704</v>
      </c>
      <c r="J155" s="580">
        <v>9865944.3999939002</v>
      </c>
      <c r="K155" s="580">
        <v>10524018.089996301</v>
      </c>
      <c r="L155" s="580">
        <v>10855964.9400024</v>
      </c>
      <c r="M155" s="580">
        <v>10850327.4700012</v>
      </c>
      <c r="N155" s="592">
        <v>10879659.2799988</v>
      </c>
      <c r="O155" s="580">
        <v>14036.3900000006</v>
      </c>
      <c r="P155" s="580">
        <v>16083</v>
      </c>
      <c r="Q155" s="580">
        <v>14722</v>
      </c>
      <c r="R155" s="580">
        <v>13122</v>
      </c>
      <c r="S155" s="580">
        <v>11069.420000001801</v>
      </c>
      <c r="T155" s="580">
        <v>15209.2099999934</v>
      </c>
      <c r="U155" s="580">
        <v>13017.2900000066</v>
      </c>
      <c r="V155" s="580">
        <v>16464.870000004801</v>
      </c>
      <c r="W155" s="580">
        <v>13694.7900000066</v>
      </c>
      <c r="X155" s="580">
        <v>14580.810000002401</v>
      </c>
      <c r="Y155" s="580">
        <v>19233.550000011899</v>
      </c>
      <c r="Z155" s="592">
        <v>17824.960000008301</v>
      </c>
      <c r="AA155" s="580">
        <v>4872038.3799978597</v>
      </c>
      <c r="AB155" s="580">
        <v>5983176</v>
      </c>
      <c r="AC155" s="580">
        <v>6332577</v>
      </c>
      <c r="AD155" s="580">
        <v>6776213</v>
      </c>
      <c r="AE155" s="580">
        <v>6405313.3300036602</v>
      </c>
      <c r="AF155" s="580">
        <v>7081669.5999993803</v>
      </c>
      <c r="AG155" s="580">
        <v>7850670.8899984797</v>
      </c>
      <c r="AH155" s="580">
        <v>9882409.2699938994</v>
      </c>
      <c r="AI155" s="580">
        <v>10537712.8799963</v>
      </c>
      <c r="AJ155" s="580">
        <v>10870545.750002399</v>
      </c>
      <c r="AK155" s="580">
        <v>10869561.020001199</v>
      </c>
      <c r="AL155" s="592">
        <v>10897484.239998801</v>
      </c>
    </row>
    <row r="156" spans="1:38">
      <c r="B156" t="s">
        <v>11</v>
      </c>
      <c r="C156" s="580">
        <v>3625143.0900001498</v>
      </c>
      <c r="D156" s="580">
        <v>4435679</v>
      </c>
      <c r="E156" s="580">
        <v>4659813</v>
      </c>
      <c r="F156" s="580">
        <v>5310485</v>
      </c>
      <c r="G156" s="580">
        <v>6894915.1299972497</v>
      </c>
      <c r="H156" s="580">
        <v>6768117.01000214</v>
      </c>
      <c r="I156" s="580">
        <v>6199772.4100036602</v>
      </c>
      <c r="J156" s="580">
        <v>4153185.63000107</v>
      </c>
      <c r="K156" s="580">
        <v>4373095.8199996902</v>
      </c>
      <c r="L156" s="580">
        <v>5079747.4300003098</v>
      </c>
      <c r="M156" s="580">
        <v>4265167.5800018301</v>
      </c>
      <c r="N156" s="592">
        <v>4631705.5899963398</v>
      </c>
      <c r="O156" s="580">
        <v>6727.82999999821</v>
      </c>
      <c r="P156" s="580">
        <v>8054</v>
      </c>
      <c r="Q156" s="580">
        <v>9912</v>
      </c>
      <c r="R156" s="580">
        <v>11465</v>
      </c>
      <c r="S156" s="580">
        <v>9407.3100000023805</v>
      </c>
      <c r="T156" s="580">
        <v>10440.2300000042</v>
      </c>
      <c r="U156" s="580">
        <v>8927.4699999988097</v>
      </c>
      <c r="V156" s="580">
        <v>5001.3999999985099</v>
      </c>
      <c r="W156" s="580">
        <v>5387.5</v>
      </c>
      <c r="X156" s="580">
        <v>5736.0600000023796</v>
      </c>
      <c r="Y156" s="580">
        <v>0</v>
      </c>
      <c r="Z156" s="592">
        <v>0</v>
      </c>
      <c r="AA156" s="580">
        <v>3631870.9200001499</v>
      </c>
      <c r="AB156" s="580">
        <v>4443733</v>
      </c>
      <c r="AC156" s="580">
        <v>4669725</v>
      </c>
      <c r="AD156" s="580">
        <v>5321950</v>
      </c>
      <c r="AE156" s="580">
        <v>6904322.4399972605</v>
      </c>
      <c r="AF156" s="580">
        <v>6778557.2400021404</v>
      </c>
      <c r="AG156" s="580">
        <v>6208699.88000366</v>
      </c>
      <c r="AH156" s="580">
        <v>4158187.0300010699</v>
      </c>
      <c r="AI156" s="580">
        <v>4378483.3199996902</v>
      </c>
      <c r="AJ156" s="580">
        <v>5085483.4900003104</v>
      </c>
      <c r="AK156" s="580">
        <v>4265167.5800018301</v>
      </c>
      <c r="AL156" s="592">
        <v>4631705.5899963398</v>
      </c>
    </row>
    <row r="157" spans="1:38">
      <c r="B157" t="s">
        <v>12</v>
      </c>
      <c r="C157" s="580">
        <v>3280772.3899993901</v>
      </c>
      <c r="D157" s="580">
        <v>3964543</v>
      </c>
      <c r="E157" s="580">
        <v>5447184</v>
      </c>
      <c r="F157" s="580">
        <v>5232167</v>
      </c>
      <c r="G157" s="580">
        <v>2838475.5999984699</v>
      </c>
      <c r="H157" s="580">
        <v>2049751.54000092</v>
      </c>
      <c r="I157" s="580">
        <v>2107414.93999863</v>
      </c>
      <c r="J157" s="580">
        <v>2271810.9199981699</v>
      </c>
      <c r="K157" s="580">
        <v>2385932.7999992399</v>
      </c>
      <c r="L157" s="580">
        <v>2497198.2299995399</v>
      </c>
      <c r="M157" s="580">
        <v>2515638.9099998502</v>
      </c>
      <c r="N157" s="592">
        <v>2016648.1499996199</v>
      </c>
      <c r="O157" s="580">
        <v>5273.7599999979102</v>
      </c>
      <c r="P157" s="580">
        <v>6313</v>
      </c>
      <c r="Q157" s="580">
        <v>6674</v>
      </c>
      <c r="R157" s="580">
        <v>5977</v>
      </c>
      <c r="S157" s="580">
        <v>4353.3800000026804</v>
      </c>
      <c r="T157" s="580">
        <v>0</v>
      </c>
      <c r="U157" s="580">
        <v>0</v>
      </c>
      <c r="V157" s="580">
        <v>0</v>
      </c>
      <c r="W157" s="580">
        <v>0</v>
      </c>
      <c r="X157" s="580">
        <v>0</v>
      </c>
      <c r="Y157" s="580">
        <v>0</v>
      </c>
      <c r="Z157" s="592">
        <v>0</v>
      </c>
      <c r="AA157" s="580">
        <v>3286046.1499993899</v>
      </c>
      <c r="AB157" s="580">
        <v>3970856</v>
      </c>
      <c r="AC157" s="580">
        <v>5453858</v>
      </c>
      <c r="AD157" s="580">
        <v>5238144</v>
      </c>
      <c r="AE157" s="580">
        <v>2842828.9799984801</v>
      </c>
      <c r="AF157" s="580">
        <v>2049751.54000092</v>
      </c>
      <c r="AG157" s="580">
        <v>2107414.93999863</v>
      </c>
      <c r="AH157" s="580">
        <v>2271810.9199981699</v>
      </c>
      <c r="AI157" s="580">
        <v>2385932.7999992399</v>
      </c>
      <c r="AJ157" s="580">
        <v>2497198.2299995399</v>
      </c>
      <c r="AK157" s="580">
        <v>2515638.9099998502</v>
      </c>
      <c r="AL157" s="592">
        <v>2016648.1499996199</v>
      </c>
    </row>
    <row r="158" spans="1:38">
      <c r="B158" t="s">
        <v>13</v>
      </c>
      <c r="C158" s="580">
        <v>2754668.4799995399</v>
      </c>
      <c r="D158" s="580">
        <v>3469198</v>
      </c>
      <c r="E158" s="580">
        <v>2284432</v>
      </c>
      <c r="F158" s="580">
        <v>1452226</v>
      </c>
      <c r="G158" s="580">
        <v>1578898.51000023</v>
      </c>
      <c r="H158" s="580">
        <v>1518982.7999992401</v>
      </c>
      <c r="I158" s="580">
        <v>1887174.5699996899</v>
      </c>
      <c r="J158" s="580">
        <v>1358374.98999977</v>
      </c>
      <c r="K158" s="580">
        <v>1406687.23999977</v>
      </c>
      <c r="L158" s="580">
        <v>1451408.0200004601</v>
      </c>
      <c r="M158" s="580">
        <v>1532766.6000003801</v>
      </c>
      <c r="N158" s="592">
        <v>1477783.2000007599</v>
      </c>
      <c r="O158" s="580">
        <v>0</v>
      </c>
      <c r="P158" s="580">
        <v>0</v>
      </c>
      <c r="Q158" s="580">
        <v>1981</v>
      </c>
      <c r="R158" s="580">
        <v>0</v>
      </c>
      <c r="S158" s="580">
        <v>0</v>
      </c>
      <c r="T158" s="580">
        <v>0</v>
      </c>
      <c r="U158" s="580">
        <v>0</v>
      </c>
      <c r="V158" s="580">
        <v>0</v>
      </c>
      <c r="W158" s="580">
        <v>0</v>
      </c>
      <c r="X158" s="580">
        <v>0</v>
      </c>
      <c r="Y158" s="580">
        <v>0</v>
      </c>
      <c r="Z158" s="592">
        <v>0</v>
      </c>
      <c r="AA158" s="580">
        <v>2754668.4799995399</v>
      </c>
      <c r="AB158" s="580">
        <v>3469198</v>
      </c>
      <c r="AC158" s="580">
        <v>2286413</v>
      </c>
      <c r="AD158" s="580">
        <v>1452226</v>
      </c>
      <c r="AE158" s="580">
        <v>1578898.51000023</v>
      </c>
      <c r="AF158" s="580">
        <v>1518982.7999992401</v>
      </c>
      <c r="AG158" s="580">
        <v>1887174.5699996899</v>
      </c>
      <c r="AH158" s="580">
        <v>1358374.98999977</v>
      </c>
      <c r="AI158" s="580">
        <v>1406687.23999977</v>
      </c>
      <c r="AJ158" s="580">
        <v>1451408.0200004601</v>
      </c>
      <c r="AK158" s="580">
        <v>1532766.6000003801</v>
      </c>
      <c r="AL158" s="592">
        <v>1477783.2000007599</v>
      </c>
    </row>
    <row r="159" spans="1:38">
      <c r="B159" t="s">
        <v>14</v>
      </c>
      <c r="C159" s="580">
        <v>755318.06999969506</v>
      </c>
      <c r="D159" s="580">
        <v>887835</v>
      </c>
      <c r="E159" s="580">
        <v>1071685</v>
      </c>
      <c r="F159" s="580">
        <v>1321762</v>
      </c>
      <c r="G159" s="580">
        <v>1190489.5</v>
      </c>
      <c r="H159" s="580">
        <v>1117290.6900005301</v>
      </c>
      <c r="I159" s="580">
        <v>939881.899999619</v>
      </c>
      <c r="J159" s="580">
        <v>1125652.8700008399</v>
      </c>
      <c r="K159" s="580">
        <v>1098496.6299991601</v>
      </c>
      <c r="L159" s="580">
        <v>1147584.8999996199</v>
      </c>
      <c r="M159" s="580">
        <v>624419.25</v>
      </c>
      <c r="N159" s="592">
        <v>672275.81999969506</v>
      </c>
      <c r="O159" s="580">
        <v>0</v>
      </c>
      <c r="P159" s="580">
        <v>0</v>
      </c>
      <c r="Q159" s="580">
        <v>0</v>
      </c>
      <c r="R159" s="580">
        <v>0</v>
      </c>
      <c r="S159" s="580">
        <v>0</v>
      </c>
      <c r="T159" s="580">
        <v>0</v>
      </c>
      <c r="U159" s="580">
        <v>0</v>
      </c>
      <c r="V159" s="580">
        <v>0</v>
      </c>
      <c r="W159" s="580">
        <v>0</v>
      </c>
      <c r="X159" s="580">
        <v>0</v>
      </c>
      <c r="Y159" s="580">
        <v>0</v>
      </c>
      <c r="Z159" s="592">
        <v>0</v>
      </c>
      <c r="AA159" s="580">
        <v>755318.06999969506</v>
      </c>
      <c r="AB159" s="580">
        <v>887835</v>
      </c>
      <c r="AC159" s="580">
        <v>1071685</v>
      </c>
      <c r="AD159" s="580">
        <v>1321762</v>
      </c>
      <c r="AE159" s="580">
        <v>1190489.5</v>
      </c>
      <c r="AF159" s="580">
        <v>1117290.6900005301</v>
      </c>
      <c r="AG159" s="580">
        <v>939881.899999619</v>
      </c>
      <c r="AH159" s="580">
        <v>1125652.8700008399</v>
      </c>
      <c r="AI159" s="580">
        <v>1098496.6299991601</v>
      </c>
      <c r="AJ159" s="580">
        <v>1147584.8999996199</v>
      </c>
      <c r="AK159" s="580">
        <v>624419.25</v>
      </c>
      <c r="AL159" s="592">
        <v>672275.81999969506</v>
      </c>
    </row>
    <row r="160" spans="1:38">
      <c r="B160" t="s">
        <v>15</v>
      </c>
      <c r="C160" s="580">
        <v>962512.94999980903</v>
      </c>
      <c r="D160" s="580">
        <v>1126170</v>
      </c>
      <c r="E160" s="580">
        <v>1157583</v>
      </c>
      <c r="F160" s="580">
        <v>1067343</v>
      </c>
      <c r="G160" s="580">
        <v>819198.40999984695</v>
      </c>
      <c r="H160" s="580">
        <v>880862.34000015305</v>
      </c>
      <c r="I160" s="580">
        <v>656575.36999988602</v>
      </c>
      <c r="J160" s="580">
        <v>504240.25</v>
      </c>
      <c r="K160" s="580">
        <v>473926.44999980897</v>
      </c>
      <c r="L160" s="580">
        <v>499255.90000009502</v>
      </c>
      <c r="M160" s="580">
        <v>222475.5</v>
      </c>
      <c r="N160" s="592">
        <v>192063.24000001</v>
      </c>
      <c r="O160" s="580">
        <v>0</v>
      </c>
      <c r="P160" s="580">
        <v>0</v>
      </c>
      <c r="Q160" s="580">
        <v>0</v>
      </c>
      <c r="R160" s="580">
        <v>0</v>
      </c>
      <c r="S160" s="580">
        <v>0</v>
      </c>
      <c r="T160" s="580">
        <v>0</v>
      </c>
      <c r="U160" s="580">
        <v>0</v>
      </c>
      <c r="V160" s="580">
        <v>0</v>
      </c>
      <c r="W160" s="580">
        <v>0</v>
      </c>
      <c r="X160" s="580">
        <v>0</v>
      </c>
      <c r="Y160" s="580">
        <v>0</v>
      </c>
      <c r="Z160" s="592">
        <v>0</v>
      </c>
      <c r="AA160" s="580">
        <v>962512.94999980903</v>
      </c>
      <c r="AB160" s="580">
        <v>1126170</v>
      </c>
      <c r="AC160" s="580">
        <v>1157583</v>
      </c>
      <c r="AD160" s="580">
        <v>1067343</v>
      </c>
      <c r="AE160" s="580">
        <v>819198.40999984695</v>
      </c>
      <c r="AF160" s="580">
        <v>880862.34000015305</v>
      </c>
      <c r="AG160" s="580">
        <v>656575.36999988602</v>
      </c>
      <c r="AH160" s="580">
        <v>504240.25</v>
      </c>
      <c r="AI160" s="580">
        <v>473926.44999980897</v>
      </c>
      <c r="AJ160" s="580">
        <v>499255.90000009502</v>
      </c>
      <c r="AK160" s="580">
        <v>222475.5</v>
      </c>
      <c r="AL160" s="592">
        <v>192063.24000001</v>
      </c>
    </row>
    <row r="161" spans="1:38">
      <c r="B161" t="s">
        <v>16</v>
      </c>
      <c r="C161" s="580">
        <v>2257078.7299995399</v>
      </c>
      <c r="D161" s="580">
        <v>2701974</v>
      </c>
      <c r="E161" s="580">
        <v>2532754</v>
      </c>
      <c r="F161" s="580">
        <v>1841502</v>
      </c>
      <c r="G161" s="580">
        <v>1147135.2800000501</v>
      </c>
      <c r="H161" s="580">
        <v>821191.11999993003</v>
      </c>
      <c r="I161" s="580">
        <v>714943.38000015903</v>
      </c>
      <c r="J161" s="580">
        <v>451359.04999983299</v>
      </c>
      <c r="K161" s="580">
        <v>449611.21999999898</v>
      </c>
      <c r="L161" s="580">
        <v>481724.670000076</v>
      </c>
      <c r="M161" s="580">
        <v>369390.03999996203</v>
      </c>
      <c r="N161" s="592">
        <v>354975.71999979002</v>
      </c>
      <c r="O161" s="580">
        <v>0</v>
      </c>
      <c r="P161" s="580">
        <v>0</v>
      </c>
      <c r="Q161" s="580">
        <v>0</v>
      </c>
      <c r="R161" s="580">
        <v>0</v>
      </c>
      <c r="S161" s="580">
        <v>0</v>
      </c>
      <c r="T161" s="580">
        <v>0</v>
      </c>
      <c r="U161" s="580">
        <v>0</v>
      </c>
      <c r="V161" s="580">
        <v>0</v>
      </c>
      <c r="W161" s="580">
        <v>0</v>
      </c>
      <c r="X161" s="580">
        <v>0</v>
      </c>
      <c r="Y161" s="580">
        <v>0</v>
      </c>
      <c r="Z161" s="592">
        <v>0</v>
      </c>
      <c r="AA161" s="580">
        <v>2257078.7299995399</v>
      </c>
      <c r="AB161" s="580">
        <v>2701974</v>
      </c>
      <c r="AC161" s="580">
        <v>2532754</v>
      </c>
      <c r="AD161" s="580">
        <v>1841502</v>
      </c>
      <c r="AE161" s="580">
        <v>1147135.2800000501</v>
      </c>
      <c r="AF161" s="580">
        <v>821191.11999993003</v>
      </c>
      <c r="AG161" s="580">
        <v>714943.38000015903</v>
      </c>
      <c r="AH161" s="580">
        <v>451359.04999983299</v>
      </c>
      <c r="AI161" s="580">
        <v>449611.21999999898</v>
      </c>
      <c r="AJ161" s="580">
        <v>481724.670000076</v>
      </c>
      <c r="AK161" s="580">
        <v>369390.03999996203</v>
      </c>
      <c r="AL161" s="592">
        <v>354975.71999979002</v>
      </c>
    </row>
    <row r="162" spans="1:38">
      <c r="B162" t="s">
        <v>17</v>
      </c>
      <c r="C162" s="580">
        <v>40718.189999997601</v>
      </c>
      <c r="D162" s="580">
        <v>35795</v>
      </c>
      <c r="E162" s="580">
        <v>32612</v>
      </c>
      <c r="F162" s="580">
        <v>35219</v>
      </c>
      <c r="G162" s="580">
        <v>32430.699999988101</v>
      </c>
      <c r="H162" s="580">
        <v>33683.329999983303</v>
      </c>
      <c r="I162" s="580">
        <v>10510</v>
      </c>
      <c r="J162" s="580">
        <v>11455.900000006</v>
      </c>
      <c r="K162" s="580">
        <v>11840.7900000066</v>
      </c>
      <c r="L162" s="580">
        <v>12939.829999998199</v>
      </c>
      <c r="M162" s="580">
        <v>14068.2699999958</v>
      </c>
      <c r="N162" s="592">
        <v>15193.7300000042</v>
      </c>
      <c r="O162" s="580">
        <v>0</v>
      </c>
      <c r="P162" s="580">
        <v>0</v>
      </c>
      <c r="Q162" s="580">
        <v>0</v>
      </c>
      <c r="R162" s="580">
        <v>0</v>
      </c>
      <c r="S162" s="580">
        <v>0</v>
      </c>
      <c r="T162" s="580">
        <v>0</v>
      </c>
      <c r="U162" s="580">
        <v>0</v>
      </c>
      <c r="V162" s="580">
        <v>0</v>
      </c>
      <c r="W162" s="580">
        <v>0</v>
      </c>
      <c r="X162" s="580">
        <v>0</v>
      </c>
      <c r="Y162" s="580">
        <v>0</v>
      </c>
      <c r="Z162" s="592">
        <v>0</v>
      </c>
      <c r="AA162" s="580">
        <v>40718.189999997601</v>
      </c>
      <c r="AB162" s="580">
        <v>35795</v>
      </c>
      <c r="AC162" s="580">
        <v>32612</v>
      </c>
      <c r="AD162" s="580">
        <v>35219</v>
      </c>
      <c r="AE162" s="580">
        <v>32430.699999988101</v>
      </c>
      <c r="AF162" s="580">
        <v>33683.329999983303</v>
      </c>
      <c r="AG162" s="580">
        <v>10510</v>
      </c>
      <c r="AH162" s="580">
        <v>11455.900000006</v>
      </c>
      <c r="AI162" s="580">
        <v>11840.7900000066</v>
      </c>
      <c r="AJ162" s="580">
        <v>12939.829999998199</v>
      </c>
      <c r="AK162" s="580">
        <v>14068.2699999958</v>
      </c>
      <c r="AL162" s="592">
        <v>15193.7300000042</v>
      </c>
    </row>
    <row r="163" spans="1:38">
      <c r="A163" s="104" t="s">
        <v>72</v>
      </c>
      <c r="B163" t="s">
        <v>3</v>
      </c>
      <c r="C163" s="580">
        <v>58701667.700004302</v>
      </c>
      <c r="D163" s="580">
        <v>78118744</v>
      </c>
      <c r="E163" s="580">
        <v>94038794</v>
      </c>
      <c r="F163" s="580">
        <v>95228038</v>
      </c>
      <c r="G163" s="580">
        <v>80122103.870026201</v>
      </c>
      <c r="H163" s="580">
        <v>108362815.06999101</v>
      </c>
      <c r="I163" s="580">
        <v>137580281.50999999</v>
      </c>
      <c r="J163" s="580">
        <v>135875835.020028</v>
      </c>
      <c r="K163" s="580">
        <v>163857213.63998401</v>
      </c>
      <c r="L163" s="580">
        <v>169688622.79001901</v>
      </c>
      <c r="M163" s="580">
        <v>176916757.74005699</v>
      </c>
      <c r="N163" s="592">
        <v>197859570.62002999</v>
      </c>
      <c r="O163" s="580">
        <v>1573394.4900000901</v>
      </c>
      <c r="P163" s="580">
        <v>1736498</v>
      </c>
      <c r="Q163" s="580">
        <v>1600413</v>
      </c>
      <c r="R163" s="580">
        <v>1245244</v>
      </c>
      <c r="S163" s="580">
        <v>911856.89999991702</v>
      </c>
      <c r="T163" s="580">
        <v>2153302.6300000302</v>
      </c>
      <c r="U163" s="580">
        <v>3392629.8600000199</v>
      </c>
      <c r="V163" s="580">
        <v>4534631.6199999899</v>
      </c>
      <c r="W163" s="580">
        <v>5454285.5800000196</v>
      </c>
      <c r="X163" s="580">
        <v>5756955.7099999897</v>
      </c>
      <c r="Y163" s="580">
        <v>6340834.6699999897</v>
      </c>
      <c r="Z163" s="592">
        <v>7115652.1100000096</v>
      </c>
      <c r="AA163" s="580">
        <v>60275062.190004401</v>
      </c>
      <c r="AB163" s="580">
        <v>79855242</v>
      </c>
      <c r="AC163" s="580">
        <v>95639207</v>
      </c>
      <c r="AD163" s="580">
        <v>96473282</v>
      </c>
      <c r="AE163" s="580">
        <v>81033960.770026103</v>
      </c>
      <c r="AF163" s="580">
        <v>110516117.699991</v>
      </c>
      <c r="AG163" s="580">
        <v>140972911.37</v>
      </c>
      <c r="AH163" s="580">
        <v>140410466.640028</v>
      </c>
      <c r="AI163" s="580">
        <v>169311499.21998399</v>
      </c>
      <c r="AJ163" s="580">
        <v>175445578.50001901</v>
      </c>
      <c r="AK163" s="580">
        <v>183257592.41005701</v>
      </c>
      <c r="AL163" s="592">
        <v>204975222.73003</v>
      </c>
    </row>
    <row r="164" spans="1:38">
      <c r="B164" t="s">
        <v>5</v>
      </c>
      <c r="C164" s="580">
        <v>47512.930000007203</v>
      </c>
      <c r="D164" s="580">
        <v>67397</v>
      </c>
      <c r="E164" s="580">
        <v>89205</v>
      </c>
      <c r="F164" s="580">
        <v>113786</v>
      </c>
      <c r="G164" s="580">
        <v>130222.519999981</v>
      </c>
      <c r="H164" s="580">
        <v>152017.15000009499</v>
      </c>
      <c r="I164" s="580">
        <v>166053.52999997101</v>
      </c>
      <c r="J164" s="580">
        <v>211763.869999886</v>
      </c>
      <c r="K164" s="580">
        <v>261782.65000009499</v>
      </c>
      <c r="L164" s="580">
        <v>300163.30000019103</v>
      </c>
      <c r="M164" s="580">
        <v>343770.40000009502</v>
      </c>
      <c r="N164" s="592">
        <v>354626.86999988602</v>
      </c>
      <c r="O164" s="580">
        <v>752.76999999955297</v>
      </c>
      <c r="P164" s="580">
        <v>1400</v>
      </c>
      <c r="Q164" s="580">
        <v>1279</v>
      </c>
      <c r="R164" s="580">
        <v>1240</v>
      </c>
      <c r="S164" s="580">
        <v>1357.63000000082</v>
      </c>
      <c r="T164" s="580">
        <v>417.279999999795</v>
      </c>
      <c r="U164" s="580">
        <v>911.44000000041001</v>
      </c>
      <c r="V164" s="580">
        <v>456.41999999992498</v>
      </c>
      <c r="W164" s="580">
        <v>566.67999999970198</v>
      </c>
      <c r="X164" s="580">
        <v>433.43000000016798</v>
      </c>
      <c r="Y164" s="580">
        <v>860.41000000014901</v>
      </c>
      <c r="Z164" s="592">
        <v>836.76999999955297</v>
      </c>
      <c r="AA164" s="580">
        <v>48265.700000006698</v>
      </c>
      <c r="AB164" s="580">
        <v>68797</v>
      </c>
      <c r="AC164" s="580">
        <v>90484</v>
      </c>
      <c r="AD164" s="580">
        <v>115026</v>
      </c>
      <c r="AE164" s="580">
        <v>131580.14999998201</v>
      </c>
      <c r="AF164" s="580">
        <v>152434.43000009499</v>
      </c>
      <c r="AG164" s="580">
        <v>166964.969999972</v>
      </c>
      <c r="AH164" s="580">
        <v>212220.28999988499</v>
      </c>
      <c r="AI164" s="580">
        <v>262349.33000009501</v>
      </c>
      <c r="AJ164" s="580">
        <v>300596.73000019102</v>
      </c>
      <c r="AK164" s="580">
        <v>344630.81000009598</v>
      </c>
      <c r="AL164" s="592">
        <v>355463.639999885</v>
      </c>
    </row>
    <row r="165" spans="1:38">
      <c r="B165" t="s">
        <v>6</v>
      </c>
      <c r="C165" s="580">
        <v>1507600</v>
      </c>
      <c r="D165" s="580">
        <v>1925520</v>
      </c>
      <c r="E165" s="580">
        <v>2753920</v>
      </c>
      <c r="F165" s="580">
        <v>3928500</v>
      </c>
      <c r="G165" s="580">
        <v>5525800</v>
      </c>
      <c r="H165" s="580">
        <v>8353540</v>
      </c>
      <c r="I165" s="580">
        <v>11966110</v>
      </c>
      <c r="J165" s="580">
        <v>14032770</v>
      </c>
      <c r="K165" s="580">
        <v>16934550</v>
      </c>
      <c r="L165" s="580">
        <v>16577265</v>
      </c>
      <c r="M165" s="580">
        <v>23067492</v>
      </c>
      <c r="N165" s="592">
        <v>25806036</v>
      </c>
      <c r="O165" s="580">
        <v>668200</v>
      </c>
      <c r="P165" s="580">
        <v>794880</v>
      </c>
      <c r="Q165" s="580">
        <v>735280</v>
      </c>
      <c r="R165" s="580">
        <v>666900</v>
      </c>
      <c r="S165" s="580">
        <v>624400</v>
      </c>
      <c r="T165" s="580">
        <v>1995760</v>
      </c>
      <c r="U165" s="580">
        <v>3300910</v>
      </c>
      <c r="V165" s="580">
        <v>4467720</v>
      </c>
      <c r="W165" s="580">
        <v>5398350</v>
      </c>
      <c r="X165" s="580">
        <v>5712690</v>
      </c>
      <c r="Y165" s="580">
        <v>6300860</v>
      </c>
      <c r="Z165" s="592">
        <v>7075608</v>
      </c>
      <c r="AA165" s="580">
        <v>2175800</v>
      </c>
      <c r="AB165" s="580">
        <v>2720400</v>
      </c>
      <c r="AC165" s="580">
        <v>3489200</v>
      </c>
      <c r="AD165" s="580">
        <v>4595400</v>
      </c>
      <c r="AE165" s="580">
        <v>6150200</v>
      </c>
      <c r="AF165" s="580">
        <v>10349300</v>
      </c>
      <c r="AG165" s="580">
        <v>15267020</v>
      </c>
      <c r="AH165" s="580">
        <v>18500490</v>
      </c>
      <c r="AI165" s="580">
        <v>22332900</v>
      </c>
      <c r="AJ165" s="580">
        <v>22289955</v>
      </c>
      <c r="AK165" s="580">
        <v>29368352</v>
      </c>
      <c r="AL165" s="592">
        <v>32881644</v>
      </c>
    </row>
    <row r="166" spans="1:38">
      <c r="B166" t="s">
        <v>7</v>
      </c>
      <c r="C166" s="580">
        <v>9667506.5899963398</v>
      </c>
      <c r="D166" s="580">
        <v>12950389</v>
      </c>
      <c r="E166" s="580">
        <v>16787178</v>
      </c>
      <c r="F166" s="580">
        <v>20220615</v>
      </c>
      <c r="G166" s="580">
        <v>19716489.2900085</v>
      </c>
      <c r="H166" s="580">
        <v>31842720.3500061</v>
      </c>
      <c r="I166" s="580">
        <v>45012947.869995102</v>
      </c>
      <c r="J166" s="580">
        <v>47810277.460022002</v>
      </c>
      <c r="K166" s="580">
        <v>62949432.820007302</v>
      </c>
      <c r="L166" s="580">
        <v>67777654.130004898</v>
      </c>
      <c r="M166" s="580">
        <v>74257812.420043901</v>
      </c>
      <c r="N166" s="592">
        <v>85972561.430053696</v>
      </c>
      <c r="O166" s="580">
        <v>504881</v>
      </c>
      <c r="P166" s="580">
        <v>519821</v>
      </c>
      <c r="Q166" s="580">
        <v>470119</v>
      </c>
      <c r="R166" s="580">
        <v>354824</v>
      </c>
      <c r="S166" s="580">
        <v>192186.049999952</v>
      </c>
      <c r="T166" s="580">
        <v>103889.820000052</v>
      </c>
      <c r="U166" s="580">
        <v>55092.430000007203</v>
      </c>
      <c r="V166" s="580">
        <v>37529.269999980897</v>
      </c>
      <c r="W166" s="580">
        <v>38220.800000011899</v>
      </c>
      <c r="X166" s="580">
        <v>32930.199999988101</v>
      </c>
      <c r="Y166" s="580">
        <v>33950.7599999905</v>
      </c>
      <c r="Z166" s="592">
        <v>33350.550000011899</v>
      </c>
      <c r="AA166" s="580">
        <v>10172387.589996301</v>
      </c>
      <c r="AB166" s="580">
        <v>13470210</v>
      </c>
      <c r="AC166" s="580">
        <v>17257297</v>
      </c>
      <c r="AD166" s="580">
        <v>20575439</v>
      </c>
      <c r="AE166" s="580">
        <v>19908675.340008501</v>
      </c>
      <c r="AF166" s="580">
        <v>31946610.170006201</v>
      </c>
      <c r="AG166" s="580">
        <v>45068040.299995102</v>
      </c>
      <c r="AH166" s="580">
        <v>47847806.730021998</v>
      </c>
      <c r="AI166" s="580">
        <v>62987653.620007299</v>
      </c>
      <c r="AJ166" s="580">
        <v>67810584.330004901</v>
      </c>
      <c r="AK166" s="580">
        <v>74291763.180043906</v>
      </c>
      <c r="AL166" s="592">
        <v>86005911.980053693</v>
      </c>
    </row>
    <row r="167" spans="1:38">
      <c r="B167" t="s">
        <v>8</v>
      </c>
      <c r="C167" s="580">
        <v>11968538.960006701</v>
      </c>
      <c r="D167" s="580">
        <v>15948512</v>
      </c>
      <c r="E167" s="580">
        <v>19314225</v>
      </c>
      <c r="F167" s="580">
        <v>19714162</v>
      </c>
      <c r="G167" s="580">
        <v>16416138.3800049</v>
      </c>
      <c r="H167" s="580">
        <v>22484165.579986598</v>
      </c>
      <c r="I167" s="580">
        <v>28422525.25</v>
      </c>
      <c r="J167" s="580">
        <v>28358827.029998802</v>
      </c>
      <c r="K167" s="580">
        <v>34833196.239990197</v>
      </c>
      <c r="L167" s="580">
        <v>36253346.0900269</v>
      </c>
      <c r="M167" s="580">
        <v>36228840.7000122</v>
      </c>
      <c r="N167" s="592">
        <v>40150709.219970703</v>
      </c>
      <c r="O167" s="580">
        <v>241282.18000006699</v>
      </c>
      <c r="P167" s="580">
        <v>256960</v>
      </c>
      <c r="Q167" s="580">
        <v>239393</v>
      </c>
      <c r="R167" s="580">
        <v>137712</v>
      </c>
      <c r="S167" s="580">
        <v>68657.549999952302</v>
      </c>
      <c r="T167" s="580">
        <v>37135.019999980897</v>
      </c>
      <c r="U167" s="580">
        <v>22245.800000011899</v>
      </c>
      <c r="V167" s="580">
        <v>20580.2700000107</v>
      </c>
      <c r="W167" s="580">
        <v>11744.650000006</v>
      </c>
      <c r="X167" s="580">
        <v>7208.2999999970198</v>
      </c>
      <c r="Y167" s="580">
        <v>1245.1400000005999</v>
      </c>
      <c r="Z167" s="592">
        <v>3725.75</v>
      </c>
      <c r="AA167" s="580">
        <v>12209821.140006799</v>
      </c>
      <c r="AB167" s="580">
        <v>16205472</v>
      </c>
      <c r="AC167" s="580">
        <v>19553618</v>
      </c>
      <c r="AD167" s="580">
        <v>19851874</v>
      </c>
      <c r="AE167" s="580">
        <v>16484795.9300048</v>
      </c>
      <c r="AF167" s="580">
        <v>22521300.599986602</v>
      </c>
      <c r="AG167" s="580">
        <v>28444771.050000001</v>
      </c>
      <c r="AH167" s="580">
        <v>28379407.299998801</v>
      </c>
      <c r="AI167" s="580">
        <v>34844940.889990203</v>
      </c>
      <c r="AJ167" s="580">
        <v>36260554.390026897</v>
      </c>
      <c r="AK167" s="580">
        <v>36230085.8400122</v>
      </c>
      <c r="AL167" s="592">
        <v>40154434.969970703</v>
      </c>
    </row>
    <row r="168" spans="1:38">
      <c r="B168" t="s">
        <v>9</v>
      </c>
      <c r="C168" s="580">
        <v>9012730.5700073205</v>
      </c>
      <c r="D168" s="580">
        <v>12110707</v>
      </c>
      <c r="E168" s="580">
        <v>14366397</v>
      </c>
      <c r="F168" s="580">
        <v>14386436</v>
      </c>
      <c r="G168" s="580">
        <v>11802493.610000599</v>
      </c>
      <c r="H168" s="580">
        <v>15214688.8500061</v>
      </c>
      <c r="I168" s="580">
        <v>18585833.630004901</v>
      </c>
      <c r="J168" s="580">
        <v>17769210.170013402</v>
      </c>
      <c r="K168" s="580">
        <v>20409512.5499878</v>
      </c>
      <c r="L168" s="580">
        <v>20583321.619995099</v>
      </c>
      <c r="M168" s="580">
        <v>19738934.720001198</v>
      </c>
      <c r="N168" s="592">
        <v>21268136.320007298</v>
      </c>
      <c r="O168" s="580">
        <v>90750.5</v>
      </c>
      <c r="P168" s="580">
        <v>92531</v>
      </c>
      <c r="Q168" s="580">
        <v>76425</v>
      </c>
      <c r="R168" s="580">
        <v>47987</v>
      </c>
      <c r="S168" s="580">
        <v>12916.5400000066</v>
      </c>
      <c r="T168" s="580">
        <v>10867.6099999994</v>
      </c>
      <c r="U168" s="580">
        <v>10052.760000005401</v>
      </c>
      <c r="V168" s="580">
        <v>8345.6599999964201</v>
      </c>
      <c r="W168" s="580">
        <v>5403.4500000029802</v>
      </c>
      <c r="X168" s="580">
        <v>3693.7800000011898</v>
      </c>
      <c r="Y168" s="580">
        <v>3918.3599999993999</v>
      </c>
      <c r="Z168" s="592">
        <v>2131.03999999911</v>
      </c>
      <c r="AA168" s="580">
        <v>9103481.0700073205</v>
      </c>
      <c r="AB168" s="580">
        <v>12203238</v>
      </c>
      <c r="AC168" s="580">
        <v>14442822</v>
      </c>
      <c r="AD168" s="580">
        <v>14434423</v>
      </c>
      <c r="AE168" s="580">
        <v>11815410.1500006</v>
      </c>
      <c r="AF168" s="580">
        <v>15225556.460006099</v>
      </c>
      <c r="AG168" s="580">
        <v>18595886.390004899</v>
      </c>
      <c r="AH168" s="580">
        <v>17777555.830013402</v>
      </c>
      <c r="AI168" s="580">
        <v>20414915.9999878</v>
      </c>
      <c r="AJ168" s="580">
        <v>20587015.3999951</v>
      </c>
      <c r="AK168" s="580">
        <v>19742853.080001201</v>
      </c>
      <c r="AL168" s="592">
        <v>21270267.360007301</v>
      </c>
    </row>
    <row r="169" spans="1:38">
      <c r="B169" t="s">
        <v>10</v>
      </c>
      <c r="C169" s="580">
        <v>7240221.3499984704</v>
      </c>
      <c r="D169" s="580">
        <v>9546958</v>
      </c>
      <c r="E169" s="580">
        <v>11063820</v>
      </c>
      <c r="F169" s="580">
        <v>10912039</v>
      </c>
      <c r="G169" s="580">
        <v>9121012.6300048791</v>
      </c>
      <c r="H169" s="580">
        <v>11292762.509994499</v>
      </c>
      <c r="I169" s="580">
        <v>13606037.3000031</v>
      </c>
      <c r="J169" s="580">
        <v>12896655.1999969</v>
      </c>
      <c r="K169" s="580">
        <v>14973103.7299957</v>
      </c>
      <c r="L169" s="580">
        <v>15108330.339996301</v>
      </c>
      <c r="M169" s="580">
        <v>16886914.75</v>
      </c>
      <c r="N169" s="592">
        <v>19357041.119995099</v>
      </c>
      <c r="O169" s="580">
        <v>39021.540000021501</v>
      </c>
      <c r="P169" s="580">
        <v>41205</v>
      </c>
      <c r="Q169" s="580">
        <v>51963</v>
      </c>
      <c r="R169" s="580">
        <v>17683</v>
      </c>
      <c r="S169" s="580">
        <v>10424.120000004799</v>
      </c>
      <c r="T169" s="580">
        <v>3254.6999999992499</v>
      </c>
      <c r="U169" s="580">
        <v>3417.4299999997002</v>
      </c>
      <c r="V169" s="580">
        <v>0</v>
      </c>
      <c r="W169" s="580">
        <v>0</v>
      </c>
      <c r="X169" s="580">
        <v>0</v>
      </c>
      <c r="Y169" s="580">
        <v>0</v>
      </c>
      <c r="Z169" s="592">
        <v>0</v>
      </c>
      <c r="AA169" s="580">
        <v>7279242.8899985002</v>
      </c>
      <c r="AB169" s="580">
        <v>9588163</v>
      </c>
      <c r="AC169" s="580">
        <v>11115783</v>
      </c>
      <c r="AD169" s="580">
        <v>10929722</v>
      </c>
      <c r="AE169" s="580">
        <v>9131436.7500048894</v>
      </c>
      <c r="AF169" s="580">
        <v>11296017.209994501</v>
      </c>
      <c r="AG169" s="580">
        <v>13609454.7300031</v>
      </c>
      <c r="AH169" s="580">
        <v>12896655.1999969</v>
      </c>
      <c r="AI169" s="580">
        <v>14973103.7299957</v>
      </c>
      <c r="AJ169" s="580">
        <v>15108330.339996301</v>
      </c>
      <c r="AK169" s="580">
        <v>16886914.75</v>
      </c>
      <c r="AL169" s="592">
        <v>19357041.119995099</v>
      </c>
    </row>
    <row r="170" spans="1:38">
      <c r="B170" t="s">
        <v>11</v>
      </c>
      <c r="C170" s="580">
        <v>6668864.9000015296</v>
      </c>
      <c r="D170" s="580">
        <v>8307562</v>
      </c>
      <c r="E170" s="580">
        <v>9664820</v>
      </c>
      <c r="F170" s="580">
        <v>9703104</v>
      </c>
      <c r="G170" s="580">
        <v>9826129.0200042706</v>
      </c>
      <c r="H170" s="580">
        <v>14757212.2799988</v>
      </c>
      <c r="I170" s="580">
        <v>16742822.1199951</v>
      </c>
      <c r="J170" s="580">
        <v>14448262.4499969</v>
      </c>
      <c r="K170" s="580">
        <v>13185405.8000031</v>
      </c>
      <c r="L170" s="580">
        <v>12816273.3699951</v>
      </c>
      <c r="M170" s="580">
        <v>6392992.75</v>
      </c>
      <c r="N170" s="592">
        <v>4950459.6600036602</v>
      </c>
      <c r="O170" s="580">
        <v>17564.129999995199</v>
      </c>
      <c r="P170" s="580">
        <v>18468</v>
      </c>
      <c r="Q170" s="580">
        <v>17234</v>
      </c>
      <c r="R170" s="580">
        <v>11355</v>
      </c>
      <c r="S170" s="580">
        <v>1915.0099999997799</v>
      </c>
      <c r="T170" s="580">
        <v>1978.1999999992499</v>
      </c>
      <c r="U170" s="580">
        <v>0</v>
      </c>
      <c r="V170" s="580">
        <v>0</v>
      </c>
      <c r="W170" s="580">
        <v>0</v>
      </c>
      <c r="X170" s="580">
        <v>0</v>
      </c>
      <c r="Y170" s="580">
        <v>0</v>
      </c>
      <c r="Z170" s="592">
        <v>0</v>
      </c>
      <c r="AA170" s="580">
        <v>6686429.0300015202</v>
      </c>
      <c r="AB170" s="580">
        <v>8326030</v>
      </c>
      <c r="AC170" s="580">
        <v>9682054</v>
      </c>
      <c r="AD170" s="580">
        <v>9714459</v>
      </c>
      <c r="AE170" s="580">
        <v>9828044.0300042704</v>
      </c>
      <c r="AF170" s="580">
        <v>14759190.479998801</v>
      </c>
      <c r="AG170" s="580">
        <v>16742822.1199951</v>
      </c>
      <c r="AH170" s="580">
        <v>14448262.4499969</v>
      </c>
      <c r="AI170" s="580">
        <v>13185405.8000031</v>
      </c>
      <c r="AJ170" s="580">
        <v>12816273.3699951</v>
      </c>
      <c r="AK170" s="580">
        <v>6392992.75</v>
      </c>
      <c r="AL170" s="592">
        <v>4950459.6600036602</v>
      </c>
    </row>
    <row r="171" spans="1:38">
      <c r="B171" t="s">
        <v>12</v>
      </c>
      <c r="C171" s="580">
        <v>6296255.5199966403</v>
      </c>
      <c r="D171" s="580">
        <v>7802225</v>
      </c>
      <c r="E171" s="580">
        <v>9834648</v>
      </c>
      <c r="F171" s="580">
        <v>14497844</v>
      </c>
      <c r="G171" s="580">
        <v>7511558.5500030499</v>
      </c>
      <c r="H171" s="580">
        <v>4265708.3499984704</v>
      </c>
      <c r="I171" s="580">
        <v>3077951.81000137</v>
      </c>
      <c r="J171" s="580">
        <v>348068.840000153</v>
      </c>
      <c r="K171" s="580">
        <v>310229.84999990498</v>
      </c>
      <c r="L171" s="580">
        <v>272268.94000005699</v>
      </c>
      <c r="M171" s="580">
        <v>0</v>
      </c>
      <c r="N171" s="592">
        <v>0</v>
      </c>
      <c r="O171" s="580">
        <v>6581.7400000020898</v>
      </c>
      <c r="P171" s="580">
        <v>7718</v>
      </c>
      <c r="Q171" s="580">
        <v>6895</v>
      </c>
      <c r="R171" s="580">
        <v>7543</v>
      </c>
      <c r="S171" s="580">
        <v>0</v>
      </c>
      <c r="T171" s="580">
        <v>0</v>
      </c>
      <c r="U171" s="580">
        <v>0</v>
      </c>
      <c r="V171" s="580">
        <v>0</v>
      </c>
      <c r="W171" s="580">
        <v>0</v>
      </c>
      <c r="X171" s="580">
        <v>0</v>
      </c>
      <c r="Y171" s="580">
        <v>0</v>
      </c>
      <c r="Z171" s="592">
        <v>0</v>
      </c>
      <c r="AA171" s="580">
        <v>6302837.2599966498</v>
      </c>
      <c r="AB171" s="580">
        <v>7809943</v>
      </c>
      <c r="AC171" s="580">
        <v>9841543</v>
      </c>
      <c r="AD171" s="580">
        <v>14505387</v>
      </c>
      <c r="AE171" s="580">
        <v>7511558.5500030499</v>
      </c>
      <c r="AF171" s="580">
        <v>4265708.3499984704</v>
      </c>
      <c r="AG171" s="580">
        <v>3077951.81000137</v>
      </c>
      <c r="AH171" s="580">
        <v>348068.840000153</v>
      </c>
      <c r="AI171" s="580">
        <v>310229.84999990498</v>
      </c>
      <c r="AJ171" s="580">
        <v>272268.94000005699</v>
      </c>
      <c r="AK171" s="580">
        <v>0</v>
      </c>
      <c r="AL171" s="592">
        <v>0</v>
      </c>
    </row>
    <row r="172" spans="1:38">
      <c r="B172" t="s">
        <v>13</v>
      </c>
      <c r="C172" s="580">
        <v>6292436.8799972497</v>
      </c>
      <c r="D172" s="580">
        <v>9459474</v>
      </c>
      <c r="E172" s="580">
        <v>9975213</v>
      </c>
      <c r="F172" s="580">
        <v>1732277</v>
      </c>
      <c r="G172" s="580">
        <v>72259.870000004797</v>
      </c>
      <c r="H172" s="580">
        <v>0</v>
      </c>
      <c r="I172" s="580">
        <v>0</v>
      </c>
      <c r="J172" s="580">
        <v>0</v>
      </c>
      <c r="K172" s="580">
        <v>0</v>
      </c>
      <c r="L172" s="580">
        <v>0</v>
      </c>
      <c r="M172" s="580">
        <v>0</v>
      </c>
      <c r="N172" s="592">
        <v>0</v>
      </c>
      <c r="O172" s="580">
        <v>4360.6300000026804</v>
      </c>
      <c r="P172" s="580">
        <v>3515</v>
      </c>
      <c r="Q172" s="580">
        <v>1825</v>
      </c>
      <c r="R172" s="580">
        <v>0</v>
      </c>
      <c r="S172" s="580">
        <v>0</v>
      </c>
      <c r="T172" s="580">
        <v>0</v>
      </c>
      <c r="U172" s="580">
        <v>0</v>
      </c>
      <c r="V172" s="580">
        <v>0</v>
      </c>
      <c r="W172" s="580">
        <v>0</v>
      </c>
      <c r="X172" s="580">
        <v>0</v>
      </c>
      <c r="Y172" s="580">
        <v>0</v>
      </c>
      <c r="Z172" s="592">
        <v>0</v>
      </c>
      <c r="AA172" s="580">
        <v>6296797.5099972598</v>
      </c>
      <c r="AB172" s="580">
        <v>9462989</v>
      </c>
      <c r="AC172" s="580">
        <v>9977038</v>
      </c>
      <c r="AD172" s="580">
        <v>1732277</v>
      </c>
      <c r="AE172" s="580">
        <v>72259.870000004797</v>
      </c>
      <c r="AF172" s="580">
        <v>0</v>
      </c>
      <c r="AG172" s="580">
        <v>0</v>
      </c>
      <c r="AH172" s="580">
        <v>0</v>
      </c>
      <c r="AI172" s="580">
        <v>0</v>
      </c>
      <c r="AJ172" s="580">
        <v>0</v>
      </c>
      <c r="AK172" s="580">
        <v>0</v>
      </c>
      <c r="AL172" s="592">
        <v>0</v>
      </c>
    </row>
    <row r="173" spans="1:38">
      <c r="B173" t="s">
        <v>14</v>
      </c>
      <c r="C173" s="580">
        <v>0</v>
      </c>
      <c r="D173" s="580">
        <v>0</v>
      </c>
      <c r="E173" s="580">
        <v>189368</v>
      </c>
      <c r="F173" s="580">
        <v>19275</v>
      </c>
      <c r="G173" s="580">
        <v>0</v>
      </c>
      <c r="H173" s="580">
        <v>0</v>
      </c>
      <c r="I173" s="580">
        <v>0</v>
      </c>
      <c r="J173" s="580">
        <v>0</v>
      </c>
      <c r="K173" s="580">
        <v>0</v>
      </c>
      <c r="L173" s="580">
        <v>0</v>
      </c>
      <c r="M173" s="580">
        <v>0</v>
      </c>
      <c r="N173" s="592">
        <v>0</v>
      </c>
      <c r="O173" s="580">
        <v>0</v>
      </c>
      <c r="P173" s="580">
        <v>0</v>
      </c>
      <c r="Q173" s="580">
        <v>0</v>
      </c>
      <c r="R173" s="580">
        <v>0</v>
      </c>
      <c r="S173" s="580">
        <v>0</v>
      </c>
      <c r="T173" s="580">
        <v>0</v>
      </c>
      <c r="U173" s="580">
        <v>0</v>
      </c>
      <c r="V173" s="580">
        <v>0</v>
      </c>
      <c r="W173" s="580">
        <v>0</v>
      </c>
      <c r="X173" s="580">
        <v>0</v>
      </c>
      <c r="Y173" s="580">
        <v>0</v>
      </c>
      <c r="Z173" s="592">
        <v>0</v>
      </c>
      <c r="AA173" s="580">
        <v>0</v>
      </c>
      <c r="AB173" s="580">
        <v>0</v>
      </c>
      <c r="AC173" s="580">
        <v>189368</v>
      </c>
      <c r="AD173" s="580">
        <v>19275</v>
      </c>
      <c r="AE173" s="580">
        <v>0</v>
      </c>
      <c r="AF173" s="580">
        <v>0</v>
      </c>
      <c r="AG173" s="580">
        <v>0</v>
      </c>
      <c r="AH173" s="580">
        <v>0</v>
      </c>
      <c r="AI173" s="580">
        <v>0</v>
      </c>
      <c r="AJ173" s="580">
        <v>0</v>
      </c>
      <c r="AK173" s="580">
        <v>0</v>
      </c>
      <c r="AL173" s="592">
        <v>0</v>
      </c>
    </row>
    <row r="174" spans="1:38">
      <c r="A174" s="104" t="s">
        <v>73</v>
      </c>
      <c r="B174" t="s">
        <v>3</v>
      </c>
      <c r="C174" s="580">
        <v>53626979.550008602</v>
      </c>
      <c r="D174" s="580">
        <v>66122393</v>
      </c>
      <c r="E174" s="580">
        <v>71359073</v>
      </c>
      <c r="F174" s="580">
        <v>79136192</v>
      </c>
      <c r="G174" s="580">
        <v>87000658.7699994</v>
      </c>
      <c r="H174" s="580">
        <v>93166027.639984101</v>
      </c>
      <c r="I174" s="580">
        <v>100995844.259984</v>
      </c>
      <c r="J174" s="580">
        <v>111730042.13994201</v>
      </c>
      <c r="K174" s="580">
        <v>125374906.260028</v>
      </c>
      <c r="L174" s="580">
        <v>139865414.709995</v>
      </c>
      <c r="M174" s="580">
        <v>156161561.74993801</v>
      </c>
      <c r="N174" s="592">
        <v>176096803.500036</v>
      </c>
      <c r="O174" s="580">
        <v>561557.68000005197</v>
      </c>
      <c r="P174" s="580">
        <v>703162</v>
      </c>
      <c r="Q174" s="580">
        <v>782335</v>
      </c>
      <c r="R174" s="580">
        <v>902301</v>
      </c>
      <c r="S174" s="580">
        <v>1053048.89000028</v>
      </c>
      <c r="T174" s="580">
        <v>1136661.5600000301</v>
      </c>
      <c r="U174" s="580">
        <v>1244938.5399992799</v>
      </c>
      <c r="V174" s="580">
        <v>1448592.03000057</v>
      </c>
      <c r="W174" s="580">
        <v>1670371.1200008099</v>
      </c>
      <c r="X174" s="580">
        <v>1888707.7699990901</v>
      </c>
      <c r="Y174" s="580">
        <v>2217381.3599983202</v>
      </c>
      <c r="Z174" s="592">
        <v>2522147.09999891</v>
      </c>
      <c r="AA174" s="580">
        <v>54188537.230008699</v>
      </c>
      <c r="AB174" s="580">
        <v>66825555</v>
      </c>
      <c r="AC174" s="580">
        <v>72141408</v>
      </c>
      <c r="AD174" s="580">
        <v>80038493</v>
      </c>
      <c r="AE174" s="580">
        <v>88053707.659999698</v>
      </c>
      <c r="AF174" s="580">
        <v>94302689.199984103</v>
      </c>
      <c r="AG174" s="580">
        <v>102240782.79998299</v>
      </c>
      <c r="AH174" s="580">
        <v>113178634.169943</v>
      </c>
      <c r="AI174" s="580">
        <v>127045277.38002899</v>
      </c>
      <c r="AJ174" s="580">
        <v>141754122.479994</v>
      </c>
      <c r="AK174" s="580">
        <v>158378943.10993701</v>
      </c>
      <c r="AL174" s="592">
        <v>178618950.60003501</v>
      </c>
    </row>
    <row r="175" spans="1:38">
      <c r="B175" t="s">
        <v>5</v>
      </c>
      <c r="C175" s="580">
        <v>18342292.1900024</v>
      </c>
      <c r="D175" s="580">
        <v>21854217</v>
      </c>
      <c r="E175" s="580">
        <v>23685509</v>
      </c>
      <c r="F175" s="580">
        <v>27990349</v>
      </c>
      <c r="G175" s="580">
        <v>33801430.690002397</v>
      </c>
      <c r="H175" s="580">
        <v>37118791.419982903</v>
      </c>
      <c r="I175" s="580">
        <v>40939987.789977998</v>
      </c>
      <c r="J175" s="580">
        <v>46769340.4099731</v>
      </c>
      <c r="K175" s="580">
        <v>52421683.010009803</v>
      </c>
      <c r="L175" s="580">
        <v>57360506.869995102</v>
      </c>
      <c r="M175" s="580">
        <v>68669206.689941406</v>
      </c>
      <c r="N175" s="592">
        <v>77635970.550048798</v>
      </c>
      <c r="O175" s="580">
        <v>468362.25</v>
      </c>
      <c r="P175" s="580">
        <v>585143</v>
      </c>
      <c r="Q175" s="580">
        <v>656195</v>
      </c>
      <c r="R175" s="580">
        <v>779461</v>
      </c>
      <c r="S175" s="580">
        <v>947925.39000034297</v>
      </c>
      <c r="T175" s="580">
        <v>1042793.21000004</v>
      </c>
      <c r="U175" s="580">
        <v>1156982.2199993101</v>
      </c>
      <c r="V175" s="580">
        <v>1364799.4400005301</v>
      </c>
      <c r="W175" s="580">
        <v>1580810.7000007599</v>
      </c>
      <c r="X175" s="580">
        <v>1793127.20999908</v>
      </c>
      <c r="Y175" s="580">
        <v>2122953.5099983201</v>
      </c>
      <c r="Z175" s="592">
        <v>2423376.36999893</v>
      </c>
      <c r="AA175" s="580">
        <v>18810654.4400024</v>
      </c>
      <c r="AB175" s="580">
        <v>22439360</v>
      </c>
      <c r="AC175" s="580">
        <v>24341704</v>
      </c>
      <c r="AD175" s="580">
        <v>28769810</v>
      </c>
      <c r="AE175" s="580">
        <v>34749356.0800028</v>
      </c>
      <c r="AF175" s="580">
        <v>38161584.629982904</v>
      </c>
      <c r="AG175" s="580">
        <v>42096970.009977303</v>
      </c>
      <c r="AH175" s="580">
        <v>48134139.849973701</v>
      </c>
      <c r="AI175" s="580">
        <v>54002493.710010499</v>
      </c>
      <c r="AJ175" s="580">
        <v>59153634.079994202</v>
      </c>
      <c r="AK175" s="580">
        <v>70792160.199939698</v>
      </c>
      <c r="AL175" s="592">
        <v>80059346.920047805</v>
      </c>
    </row>
    <row r="176" spans="1:38">
      <c r="B176" t="s">
        <v>6</v>
      </c>
      <c r="C176" s="580">
        <v>5000</v>
      </c>
      <c r="D176" s="580">
        <v>6720</v>
      </c>
      <c r="E176" s="580">
        <v>6240</v>
      </c>
      <c r="F176" s="580">
        <v>7200</v>
      </c>
      <c r="G176" s="580">
        <v>10850</v>
      </c>
      <c r="H176" s="580">
        <v>10640</v>
      </c>
      <c r="I176" s="580">
        <v>30710</v>
      </c>
      <c r="J176" s="580">
        <v>36270</v>
      </c>
      <c r="K176" s="580">
        <v>42840</v>
      </c>
      <c r="L176" s="580">
        <v>40875</v>
      </c>
      <c r="M176" s="580">
        <v>42918</v>
      </c>
      <c r="N176" s="592">
        <v>48816</v>
      </c>
      <c r="O176" s="580">
        <v>1000</v>
      </c>
      <c r="P176" s="580">
        <v>1200</v>
      </c>
      <c r="Q176" s="580">
        <v>1560</v>
      </c>
      <c r="R176" s="580">
        <v>2400</v>
      </c>
      <c r="S176" s="580">
        <v>3850</v>
      </c>
      <c r="T176" s="580">
        <v>4180</v>
      </c>
      <c r="U176" s="580">
        <v>2075</v>
      </c>
      <c r="V176" s="580">
        <v>2325</v>
      </c>
      <c r="W176" s="580">
        <v>2550</v>
      </c>
      <c r="X176" s="580">
        <v>2725</v>
      </c>
      <c r="Y176" s="580">
        <v>3110</v>
      </c>
      <c r="Z176" s="592">
        <v>4068</v>
      </c>
      <c r="AA176" s="580">
        <v>6000</v>
      </c>
      <c r="AB176" s="580">
        <v>7920</v>
      </c>
      <c r="AC176" s="580">
        <v>7800</v>
      </c>
      <c r="AD176" s="580">
        <v>9600</v>
      </c>
      <c r="AE176" s="580">
        <v>14700</v>
      </c>
      <c r="AF176" s="580">
        <v>14820</v>
      </c>
      <c r="AG176" s="580">
        <v>32785</v>
      </c>
      <c r="AH176" s="580">
        <v>38595</v>
      </c>
      <c r="AI176" s="580">
        <v>45390</v>
      </c>
      <c r="AJ176" s="580">
        <v>43600</v>
      </c>
      <c r="AK176" s="580">
        <v>46028</v>
      </c>
      <c r="AL176" s="592">
        <v>52884</v>
      </c>
    </row>
    <row r="177" spans="1:38">
      <c r="B177" t="s">
        <v>7</v>
      </c>
      <c r="C177" s="580">
        <v>14200152.460006701</v>
      </c>
      <c r="D177" s="580">
        <v>17581945</v>
      </c>
      <c r="E177" s="580">
        <v>19151071</v>
      </c>
      <c r="F177" s="580">
        <v>21797445</v>
      </c>
      <c r="G177" s="580">
        <v>24550799.0499878</v>
      </c>
      <c r="H177" s="580">
        <v>26895138.8900146</v>
      </c>
      <c r="I177" s="580">
        <v>29654353.3500061</v>
      </c>
      <c r="J177" s="580">
        <v>35180173.539977998</v>
      </c>
      <c r="K177" s="580">
        <v>40013622.7000122</v>
      </c>
      <c r="L177" s="580">
        <v>44922849.989990197</v>
      </c>
      <c r="M177" s="580">
        <v>53150488.919982903</v>
      </c>
      <c r="N177" s="592">
        <v>63573763.729980499</v>
      </c>
      <c r="O177" s="580">
        <v>75687.700000047698</v>
      </c>
      <c r="P177" s="580">
        <v>95456</v>
      </c>
      <c r="Q177" s="580">
        <v>104638</v>
      </c>
      <c r="R177" s="580">
        <v>101641</v>
      </c>
      <c r="S177" s="580">
        <v>88121.559999942794</v>
      </c>
      <c r="T177" s="580">
        <v>79219.009999990507</v>
      </c>
      <c r="U177" s="580">
        <v>75549.169999957099</v>
      </c>
      <c r="V177" s="580">
        <v>71145.460000038103</v>
      </c>
      <c r="W177" s="580">
        <v>71843.950000047698</v>
      </c>
      <c r="X177" s="580">
        <v>76327.360000014305</v>
      </c>
      <c r="Y177" s="580">
        <v>73947.009999990507</v>
      </c>
      <c r="Z177" s="592">
        <v>78719.029999971404</v>
      </c>
      <c r="AA177" s="580">
        <v>14275840.160006801</v>
      </c>
      <c r="AB177" s="580">
        <v>17677401</v>
      </c>
      <c r="AC177" s="580">
        <v>19255709</v>
      </c>
      <c r="AD177" s="580">
        <v>21899086</v>
      </c>
      <c r="AE177" s="580">
        <v>24638920.609987698</v>
      </c>
      <c r="AF177" s="580">
        <v>26974357.900014602</v>
      </c>
      <c r="AG177" s="580">
        <v>29729902.520006102</v>
      </c>
      <c r="AH177" s="580">
        <v>35251318.999978103</v>
      </c>
      <c r="AI177" s="580">
        <v>40085466.650012299</v>
      </c>
      <c r="AJ177" s="580">
        <v>44999177.349990197</v>
      </c>
      <c r="AK177" s="580">
        <v>53224435.929982901</v>
      </c>
      <c r="AL177" s="592">
        <v>63652482.759980403</v>
      </c>
    </row>
    <row r="178" spans="1:38">
      <c r="B178" t="s">
        <v>8</v>
      </c>
      <c r="C178" s="580">
        <v>11305119.75</v>
      </c>
      <c r="D178" s="580">
        <v>14119228</v>
      </c>
      <c r="E178" s="580">
        <v>15868969</v>
      </c>
      <c r="F178" s="580">
        <v>20826392</v>
      </c>
      <c r="G178" s="580">
        <v>23405376.480011001</v>
      </c>
      <c r="H178" s="580">
        <v>25205760.1099854</v>
      </c>
      <c r="I178" s="580">
        <v>26765490.720001198</v>
      </c>
      <c r="J178" s="580">
        <v>27234777.9599915</v>
      </c>
      <c r="K178" s="580">
        <v>30591775.1000061</v>
      </c>
      <c r="L178" s="580">
        <v>34981322.010009803</v>
      </c>
      <c r="M178" s="580">
        <v>32504004.420013402</v>
      </c>
      <c r="N178" s="592">
        <v>33128946.070007298</v>
      </c>
      <c r="O178" s="580">
        <v>12004.560000002401</v>
      </c>
      <c r="P178" s="580">
        <v>15972</v>
      </c>
      <c r="Q178" s="580">
        <v>16616</v>
      </c>
      <c r="R178" s="580">
        <v>16955</v>
      </c>
      <c r="S178" s="580">
        <v>13151.939999997599</v>
      </c>
      <c r="T178" s="580">
        <v>10469.3400000036</v>
      </c>
      <c r="U178" s="580">
        <v>10332.150000006</v>
      </c>
      <c r="V178" s="580">
        <v>10322.129999995201</v>
      </c>
      <c r="W178" s="580">
        <v>15166.469999998801</v>
      </c>
      <c r="X178" s="580">
        <v>16528.199999988101</v>
      </c>
      <c r="Y178" s="580">
        <v>17370.840000003602</v>
      </c>
      <c r="Z178" s="592">
        <v>15983.700000003</v>
      </c>
      <c r="AA178" s="580">
        <v>11317124.310000001</v>
      </c>
      <c r="AB178" s="580">
        <v>14135200</v>
      </c>
      <c r="AC178" s="580">
        <v>15885585</v>
      </c>
      <c r="AD178" s="580">
        <v>20843347</v>
      </c>
      <c r="AE178" s="580">
        <v>23418528.420010999</v>
      </c>
      <c r="AF178" s="580">
        <v>25216229.4499854</v>
      </c>
      <c r="AG178" s="580">
        <v>26775822.870001201</v>
      </c>
      <c r="AH178" s="580">
        <v>27245100.089991499</v>
      </c>
      <c r="AI178" s="580">
        <v>30606941.570006099</v>
      </c>
      <c r="AJ178" s="580">
        <v>34997850.210009798</v>
      </c>
      <c r="AK178" s="580">
        <v>32521375.260013402</v>
      </c>
      <c r="AL178" s="592">
        <v>33144929.770007301</v>
      </c>
    </row>
    <row r="179" spans="1:38">
      <c r="B179" t="s">
        <v>9</v>
      </c>
      <c r="C179" s="580">
        <v>8008242.3199996902</v>
      </c>
      <c r="D179" s="580">
        <v>10392026</v>
      </c>
      <c r="E179" s="580">
        <v>10601973</v>
      </c>
      <c r="F179" s="580">
        <v>7100375</v>
      </c>
      <c r="G179" s="580">
        <v>4165150.8499984699</v>
      </c>
      <c r="H179" s="580">
        <v>3001871.31000137</v>
      </c>
      <c r="I179" s="580">
        <v>2730238.93999863</v>
      </c>
      <c r="J179" s="580">
        <v>1934497.73999977</v>
      </c>
      <c r="K179" s="580">
        <v>1718241.3199996899</v>
      </c>
      <c r="L179" s="580">
        <v>1956192.9799995399</v>
      </c>
      <c r="M179" s="580">
        <v>1334057.9400005301</v>
      </c>
      <c r="N179" s="592">
        <v>1271345.45999908</v>
      </c>
      <c r="O179" s="580">
        <v>4503.17000000179</v>
      </c>
      <c r="P179" s="580">
        <v>5391</v>
      </c>
      <c r="Q179" s="580">
        <v>3326</v>
      </c>
      <c r="R179" s="580">
        <v>1844</v>
      </c>
      <c r="S179" s="580">
        <v>0</v>
      </c>
      <c r="T179" s="580">
        <v>0</v>
      </c>
      <c r="U179" s="580">
        <v>0</v>
      </c>
      <c r="V179" s="580">
        <v>0</v>
      </c>
      <c r="W179" s="580">
        <v>0</v>
      </c>
      <c r="X179" s="580">
        <v>0</v>
      </c>
      <c r="Y179" s="580">
        <v>0</v>
      </c>
      <c r="Z179" s="592">
        <v>0</v>
      </c>
      <c r="AA179" s="580">
        <v>8012745.4899997003</v>
      </c>
      <c r="AB179" s="580">
        <v>10397417</v>
      </c>
      <c r="AC179" s="580">
        <v>10605299</v>
      </c>
      <c r="AD179" s="580">
        <v>7102219</v>
      </c>
      <c r="AE179" s="580">
        <v>4165150.8499984699</v>
      </c>
      <c r="AF179" s="580">
        <v>3001871.31000137</v>
      </c>
      <c r="AG179" s="580">
        <v>2730238.93999863</v>
      </c>
      <c r="AH179" s="580">
        <v>1934497.73999977</v>
      </c>
      <c r="AI179" s="580">
        <v>1718241.3199996899</v>
      </c>
      <c r="AJ179" s="580">
        <v>1956192.9799995399</v>
      </c>
      <c r="AK179" s="580">
        <v>1334057.9400005301</v>
      </c>
      <c r="AL179" s="592">
        <v>1271345.45999908</v>
      </c>
    </row>
    <row r="180" spans="1:38">
      <c r="B180" t="s">
        <v>10</v>
      </c>
      <c r="C180" s="580">
        <v>1044065.40999985</v>
      </c>
      <c r="D180" s="580">
        <v>1289275</v>
      </c>
      <c r="E180" s="580">
        <v>1245958</v>
      </c>
      <c r="F180" s="580">
        <v>921943</v>
      </c>
      <c r="G180" s="580">
        <v>707283.18999958003</v>
      </c>
      <c r="H180" s="580">
        <v>615268.69999980903</v>
      </c>
      <c r="I180" s="580">
        <v>577407.86999988602</v>
      </c>
      <c r="J180" s="580">
        <v>370701</v>
      </c>
      <c r="K180" s="580">
        <v>373171.5</v>
      </c>
      <c r="L180" s="580">
        <v>389899.73000001902</v>
      </c>
      <c r="M180" s="580">
        <v>317449.23000001902</v>
      </c>
      <c r="N180" s="592">
        <v>289940.010000229</v>
      </c>
      <c r="O180" s="580">
        <v>0</v>
      </c>
      <c r="P180" s="580">
        <v>0</v>
      </c>
      <c r="Q180" s="580">
        <v>0</v>
      </c>
      <c r="R180" s="580">
        <v>0</v>
      </c>
      <c r="S180" s="580">
        <v>0</v>
      </c>
      <c r="T180" s="580">
        <v>0</v>
      </c>
      <c r="U180" s="580">
        <v>0</v>
      </c>
      <c r="V180" s="580">
        <v>0</v>
      </c>
      <c r="W180" s="580">
        <v>0</v>
      </c>
      <c r="X180" s="580">
        <v>0</v>
      </c>
      <c r="Y180" s="580">
        <v>0</v>
      </c>
      <c r="Z180" s="592">
        <v>0</v>
      </c>
      <c r="AA180" s="580">
        <v>1044065.40999985</v>
      </c>
      <c r="AB180" s="580">
        <v>1289275</v>
      </c>
      <c r="AC180" s="580">
        <v>1245958</v>
      </c>
      <c r="AD180" s="580">
        <v>921943</v>
      </c>
      <c r="AE180" s="580">
        <v>707283.18999958003</v>
      </c>
      <c r="AF180" s="580">
        <v>615268.69999980903</v>
      </c>
      <c r="AG180" s="580">
        <v>577407.86999988602</v>
      </c>
      <c r="AH180" s="580">
        <v>370701</v>
      </c>
      <c r="AI180" s="580">
        <v>373171.5</v>
      </c>
      <c r="AJ180" s="580">
        <v>389899.73000001902</v>
      </c>
      <c r="AK180" s="580">
        <v>317449.23000001902</v>
      </c>
      <c r="AL180" s="592">
        <v>289940.010000229</v>
      </c>
    </row>
    <row r="181" spans="1:38">
      <c r="B181" t="s">
        <v>11</v>
      </c>
      <c r="C181" s="580">
        <v>461259.42999982799</v>
      </c>
      <c r="D181" s="580">
        <v>559901</v>
      </c>
      <c r="E181" s="580">
        <v>493761</v>
      </c>
      <c r="F181" s="580">
        <v>264545</v>
      </c>
      <c r="G181" s="580">
        <v>231523.69000005699</v>
      </c>
      <c r="H181" s="580">
        <v>199827.00999999</v>
      </c>
      <c r="I181" s="580">
        <v>169767.85999989501</v>
      </c>
      <c r="J181" s="580">
        <v>97520.450000047698</v>
      </c>
      <c r="K181" s="580">
        <v>113244.700000048</v>
      </c>
      <c r="L181" s="580">
        <v>123626.879999995</v>
      </c>
      <c r="M181" s="580">
        <v>64962.7400000095</v>
      </c>
      <c r="N181" s="592">
        <v>74062.340000033393</v>
      </c>
      <c r="O181" s="580">
        <v>0</v>
      </c>
      <c r="P181" s="580">
        <v>0</v>
      </c>
      <c r="Q181" s="580">
        <v>0</v>
      </c>
      <c r="R181" s="580">
        <v>0</v>
      </c>
      <c r="S181" s="580">
        <v>0</v>
      </c>
      <c r="T181" s="580">
        <v>0</v>
      </c>
      <c r="U181" s="580">
        <v>0</v>
      </c>
      <c r="V181" s="580">
        <v>0</v>
      </c>
      <c r="W181" s="580">
        <v>0</v>
      </c>
      <c r="X181" s="580">
        <v>0</v>
      </c>
      <c r="Y181" s="580">
        <v>0</v>
      </c>
      <c r="Z181" s="592">
        <v>0</v>
      </c>
      <c r="AA181" s="580">
        <v>461259.42999982799</v>
      </c>
      <c r="AB181" s="580">
        <v>559901</v>
      </c>
      <c r="AC181" s="580">
        <v>493761</v>
      </c>
      <c r="AD181" s="580">
        <v>264545</v>
      </c>
      <c r="AE181" s="580">
        <v>231523.69000005699</v>
      </c>
      <c r="AF181" s="580">
        <v>199827.00999999</v>
      </c>
      <c r="AG181" s="580">
        <v>169767.85999989501</v>
      </c>
      <c r="AH181" s="580">
        <v>97520.450000047698</v>
      </c>
      <c r="AI181" s="580">
        <v>113244.700000048</v>
      </c>
      <c r="AJ181" s="580">
        <v>123626.879999995</v>
      </c>
      <c r="AK181" s="580">
        <v>64962.7400000095</v>
      </c>
      <c r="AL181" s="592">
        <v>74062.340000033393</v>
      </c>
    </row>
    <row r="182" spans="1:38">
      <c r="B182" t="s">
        <v>12</v>
      </c>
      <c r="C182" s="580">
        <v>123438.200000048</v>
      </c>
      <c r="D182" s="580">
        <v>144891</v>
      </c>
      <c r="E182" s="580">
        <v>183644</v>
      </c>
      <c r="F182" s="580">
        <v>137410</v>
      </c>
      <c r="G182" s="580">
        <v>51548.050000011899</v>
      </c>
      <c r="H182" s="580">
        <v>51452.610000014298</v>
      </c>
      <c r="I182" s="580">
        <v>45655.899999976202</v>
      </c>
      <c r="J182" s="580">
        <v>50410.860000014298</v>
      </c>
      <c r="K182" s="580">
        <v>43180.0099999905</v>
      </c>
      <c r="L182" s="580">
        <v>39022.110000014298</v>
      </c>
      <c r="M182" s="580">
        <v>23347.629999995199</v>
      </c>
      <c r="N182" s="592">
        <v>21391.599999994</v>
      </c>
      <c r="O182" s="580">
        <v>0</v>
      </c>
      <c r="P182" s="580">
        <v>0</v>
      </c>
      <c r="Q182" s="580">
        <v>0</v>
      </c>
      <c r="R182" s="580">
        <v>0</v>
      </c>
      <c r="S182" s="580">
        <v>0</v>
      </c>
      <c r="T182" s="580">
        <v>0</v>
      </c>
      <c r="U182" s="580">
        <v>0</v>
      </c>
      <c r="V182" s="580">
        <v>0</v>
      </c>
      <c r="W182" s="580">
        <v>0</v>
      </c>
      <c r="X182" s="580">
        <v>0</v>
      </c>
      <c r="Y182" s="580">
        <v>0</v>
      </c>
      <c r="Z182" s="592">
        <v>0</v>
      </c>
      <c r="AA182" s="580">
        <v>123438.200000048</v>
      </c>
      <c r="AB182" s="580">
        <v>144891</v>
      </c>
      <c r="AC182" s="580">
        <v>183644</v>
      </c>
      <c r="AD182" s="580">
        <v>137410</v>
      </c>
      <c r="AE182" s="580">
        <v>51548.050000011899</v>
      </c>
      <c r="AF182" s="580">
        <v>51452.610000014298</v>
      </c>
      <c r="AG182" s="580">
        <v>45655.899999976202</v>
      </c>
      <c r="AH182" s="580">
        <v>50410.860000014298</v>
      </c>
      <c r="AI182" s="580">
        <v>43180.0099999905</v>
      </c>
      <c r="AJ182" s="580">
        <v>39022.110000014298</v>
      </c>
      <c r="AK182" s="580">
        <v>23347.629999995199</v>
      </c>
      <c r="AL182" s="592">
        <v>21391.599999994</v>
      </c>
    </row>
    <row r="183" spans="1:38">
      <c r="B183" t="s">
        <v>13</v>
      </c>
      <c r="C183" s="580">
        <v>86360.590000033393</v>
      </c>
      <c r="D183" s="580">
        <v>101525</v>
      </c>
      <c r="E183" s="580">
        <v>52067</v>
      </c>
      <c r="F183" s="580">
        <v>47631</v>
      </c>
      <c r="G183" s="580">
        <v>38355.660000026197</v>
      </c>
      <c r="H183" s="580">
        <v>25584.4799999893</v>
      </c>
      <c r="I183" s="580">
        <v>21438.0099999905</v>
      </c>
      <c r="J183" s="580">
        <v>13878.1099999994</v>
      </c>
      <c r="K183" s="580">
        <v>7938.1899999976204</v>
      </c>
      <c r="L183" s="580">
        <v>8467.8100000023805</v>
      </c>
      <c r="M183" s="580">
        <v>9333.5600000023805</v>
      </c>
      <c r="N183" s="592">
        <v>5424</v>
      </c>
      <c r="O183" s="580">
        <v>0</v>
      </c>
      <c r="P183" s="580">
        <v>0</v>
      </c>
      <c r="Q183" s="580">
        <v>0</v>
      </c>
      <c r="R183" s="580">
        <v>0</v>
      </c>
      <c r="S183" s="580">
        <v>0</v>
      </c>
      <c r="T183" s="580">
        <v>0</v>
      </c>
      <c r="U183" s="580">
        <v>0</v>
      </c>
      <c r="V183" s="580">
        <v>0</v>
      </c>
      <c r="W183" s="580">
        <v>0</v>
      </c>
      <c r="X183" s="580">
        <v>0</v>
      </c>
      <c r="Y183" s="580">
        <v>0</v>
      </c>
      <c r="Z183" s="592">
        <v>0</v>
      </c>
      <c r="AA183" s="580">
        <v>86360.590000033393</v>
      </c>
      <c r="AB183" s="580">
        <v>101525</v>
      </c>
      <c r="AC183" s="580">
        <v>52067</v>
      </c>
      <c r="AD183" s="580">
        <v>47631</v>
      </c>
      <c r="AE183" s="580">
        <v>38355.660000026197</v>
      </c>
      <c r="AF183" s="580">
        <v>25584.4799999893</v>
      </c>
      <c r="AG183" s="580">
        <v>21438.0099999905</v>
      </c>
      <c r="AH183" s="580">
        <v>13878.1099999994</v>
      </c>
      <c r="AI183" s="580">
        <v>7938.1899999976204</v>
      </c>
      <c r="AJ183" s="580">
        <v>8467.8100000023805</v>
      </c>
      <c r="AK183" s="580">
        <v>9333.5600000023805</v>
      </c>
      <c r="AL183" s="592">
        <v>5424</v>
      </c>
    </row>
    <row r="184" spans="1:38">
      <c r="B184" t="s">
        <v>14</v>
      </c>
      <c r="C184" s="580">
        <v>20706.539999991699</v>
      </c>
      <c r="D184" s="580">
        <v>31098</v>
      </c>
      <c r="E184" s="580">
        <v>28764</v>
      </c>
      <c r="F184" s="580">
        <v>12680</v>
      </c>
      <c r="G184" s="580">
        <v>8841.9300000071507</v>
      </c>
      <c r="H184" s="580">
        <v>3220.48999999836</v>
      </c>
      <c r="I184" s="580">
        <v>3381.51000000164</v>
      </c>
      <c r="J184" s="580">
        <v>0</v>
      </c>
      <c r="K184" s="580">
        <v>0</v>
      </c>
      <c r="L184" s="580">
        <v>0</v>
      </c>
      <c r="M184" s="580">
        <v>21792.620000004801</v>
      </c>
      <c r="N184" s="592">
        <v>23143.7400000095</v>
      </c>
      <c r="O184" s="580">
        <v>0</v>
      </c>
      <c r="P184" s="580">
        <v>0</v>
      </c>
      <c r="Q184" s="580">
        <v>0</v>
      </c>
      <c r="R184" s="580">
        <v>0</v>
      </c>
      <c r="S184" s="580">
        <v>0</v>
      </c>
      <c r="T184" s="580">
        <v>0</v>
      </c>
      <c r="U184" s="580">
        <v>0</v>
      </c>
      <c r="V184" s="580">
        <v>0</v>
      </c>
      <c r="W184" s="580">
        <v>0</v>
      </c>
      <c r="X184" s="580">
        <v>0</v>
      </c>
      <c r="Y184" s="580">
        <v>0</v>
      </c>
      <c r="Z184" s="592">
        <v>0</v>
      </c>
      <c r="AA184" s="580">
        <v>20706.539999991699</v>
      </c>
      <c r="AB184" s="580">
        <v>31098</v>
      </c>
      <c r="AC184" s="580">
        <v>28764</v>
      </c>
      <c r="AD184" s="580">
        <v>12680</v>
      </c>
      <c r="AE184" s="580">
        <v>8841.9300000071507</v>
      </c>
      <c r="AF184" s="580">
        <v>3220.48999999836</v>
      </c>
      <c r="AG184" s="580">
        <v>3381.51000000164</v>
      </c>
      <c r="AH184" s="580">
        <v>0</v>
      </c>
      <c r="AI184" s="580">
        <v>0</v>
      </c>
      <c r="AJ184" s="580">
        <v>0</v>
      </c>
      <c r="AK184" s="580">
        <v>21792.620000004801</v>
      </c>
      <c r="AL184" s="592">
        <v>23143.7400000095</v>
      </c>
    </row>
    <row r="185" spans="1:38">
      <c r="B185" t="s">
        <v>15</v>
      </c>
      <c r="C185" s="580">
        <v>7633.6099999994003</v>
      </c>
      <c r="D185" s="580">
        <v>9138</v>
      </c>
      <c r="E185" s="580">
        <v>12344</v>
      </c>
      <c r="F185" s="580">
        <v>8420</v>
      </c>
      <c r="G185" s="580">
        <v>0</v>
      </c>
      <c r="H185" s="580">
        <v>0</v>
      </c>
      <c r="I185" s="580">
        <v>4095.26000000164</v>
      </c>
      <c r="J185" s="580">
        <v>13393.4300000072</v>
      </c>
      <c r="K185" s="580">
        <v>19295.210000008301</v>
      </c>
      <c r="L185" s="580">
        <v>20543.580000013098</v>
      </c>
      <c r="M185" s="580">
        <v>0</v>
      </c>
      <c r="N185" s="592">
        <v>0</v>
      </c>
      <c r="O185" s="580">
        <v>0</v>
      </c>
      <c r="P185" s="580">
        <v>0</v>
      </c>
      <c r="Q185" s="580">
        <v>0</v>
      </c>
      <c r="R185" s="580">
        <v>0</v>
      </c>
      <c r="S185" s="580">
        <v>0</v>
      </c>
      <c r="T185" s="580">
        <v>0</v>
      </c>
      <c r="U185" s="580">
        <v>0</v>
      </c>
      <c r="V185" s="580">
        <v>0</v>
      </c>
      <c r="W185" s="580">
        <v>0</v>
      </c>
      <c r="X185" s="580">
        <v>0</v>
      </c>
      <c r="Y185" s="580">
        <v>0</v>
      </c>
      <c r="Z185" s="592">
        <v>0</v>
      </c>
      <c r="AA185" s="580">
        <v>7633.6099999994003</v>
      </c>
      <c r="AB185" s="580">
        <v>9138</v>
      </c>
      <c r="AC185" s="580">
        <v>12344</v>
      </c>
      <c r="AD185" s="580">
        <v>8420</v>
      </c>
      <c r="AE185" s="580">
        <v>0</v>
      </c>
      <c r="AF185" s="580">
        <v>0</v>
      </c>
      <c r="AG185" s="580">
        <v>4095.26000000164</v>
      </c>
      <c r="AH185" s="580">
        <v>13393.4300000072</v>
      </c>
      <c r="AI185" s="580">
        <v>19295.210000008301</v>
      </c>
      <c r="AJ185" s="580">
        <v>20543.580000013098</v>
      </c>
      <c r="AK185" s="580">
        <v>0</v>
      </c>
      <c r="AL185" s="592">
        <v>0</v>
      </c>
    </row>
    <row r="186" spans="1:38">
      <c r="B186" t="s">
        <v>16</v>
      </c>
      <c r="C186" s="580">
        <v>17472.310000002399</v>
      </c>
      <c r="D186" s="580">
        <v>20916</v>
      </c>
      <c r="E186" s="580">
        <v>16738</v>
      </c>
      <c r="F186" s="580">
        <v>14833</v>
      </c>
      <c r="G186" s="580">
        <v>22180.709999997202</v>
      </c>
      <c r="H186" s="580">
        <v>30472.6199999973</v>
      </c>
      <c r="I186" s="580">
        <v>53317.050000004499</v>
      </c>
      <c r="J186" s="580">
        <v>29078.6400000006</v>
      </c>
      <c r="K186" s="580">
        <v>29914.5200000033</v>
      </c>
      <c r="L186" s="580">
        <v>22107.75</v>
      </c>
      <c r="M186" s="580">
        <v>24000</v>
      </c>
      <c r="N186" s="592">
        <v>24000</v>
      </c>
      <c r="O186" s="580">
        <v>0</v>
      </c>
      <c r="P186" s="580">
        <v>0</v>
      </c>
      <c r="Q186" s="580">
        <v>0</v>
      </c>
      <c r="R186" s="580">
        <v>0</v>
      </c>
      <c r="S186" s="580">
        <v>0</v>
      </c>
      <c r="T186" s="580">
        <v>0</v>
      </c>
      <c r="U186" s="580">
        <v>0</v>
      </c>
      <c r="V186" s="580">
        <v>0</v>
      </c>
      <c r="W186" s="580">
        <v>0</v>
      </c>
      <c r="X186" s="580">
        <v>0</v>
      </c>
      <c r="Y186" s="580">
        <v>0</v>
      </c>
      <c r="Z186" s="592">
        <v>0</v>
      </c>
      <c r="AA186" s="580">
        <v>17472.310000002399</v>
      </c>
      <c r="AB186" s="580">
        <v>20916</v>
      </c>
      <c r="AC186" s="580">
        <v>16738</v>
      </c>
      <c r="AD186" s="580">
        <v>14833</v>
      </c>
      <c r="AE186" s="580">
        <v>22180.709999997202</v>
      </c>
      <c r="AF186" s="580">
        <v>30472.6199999973</v>
      </c>
      <c r="AG186" s="580">
        <v>53317.050000004499</v>
      </c>
      <c r="AH186" s="580">
        <v>29078.6400000006</v>
      </c>
      <c r="AI186" s="580">
        <v>29914.5200000033</v>
      </c>
      <c r="AJ186" s="580">
        <v>22107.75</v>
      </c>
      <c r="AK186" s="580">
        <v>24000</v>
      </c>
      <c r="AL186" s="592">
        <v>24000</v>
      </c>
    </row>
    <row r="187" spans="1:38">
      <c r="B187" t="s">
        <v>17</v>
      </c>
      <c r="C187" s="580">
        <v>5236.7400000020898</v>
      </c>
      <c r="D187" s="580">
        <v>11513</v>
      </c>
      <c r="E187" s="580">
        <v>12035</v>
      </c>
      <c r="F187" s="580">
        <v>6969</v>
      </c>
      <c r="G187" s="580">
        <v>7318.4699999988097</v>
      </c>
      <c r="H187" s="580">
        <v>8000</v>
      </c>
      <c r="I187" s="580">
        <v>0</v>
      </c>
      <c r="J187" s="580">
        <v>0</v>
      </c>
      <c r="K187" s="580">
        <v>0</v>
      </c>
      <c r="L187" s="580">
        <v>0</v>
      </c>
      <c r="M187" s="580">
        <v>0</v>
      </c>
      <c r="N187" s="592">
        <v>0</v>
      </c>
      <c r="O187" s="580">
        <v>0</v>
      </c>
      <c r="P187" s="580">
        <v>0</v>
      </c>
      <c r="Q187" s="580">
        <v>0</v>
      </c>
      <c r="R187" s="580">
        <v>0</v>
      </c>
      <c r="S187" s="580">
        <v>0</v>
      </c>
      <c r="T187" s="580">
        <v>0</v>
      </c>
      <c r="U187" s="580">
        <v>0</v>
      </c>
      <c r="V187" s="580">
        <v>0</v>
      </c>
      <c r="W187" s="580">
        <v>0</v>
      </c>
      <c r="X187" s="580">
        <v>0</v>
      </c>
      <c r="Y187" s="580">
        <v>0</v>
      </c>
      <c r="Z187" s="592">
        <v>0</v>
      </c>
      <c r="AA187" s="580">
        <v>5236.7400000020898</v>
      </c>
      <c r="AB187" s="580">
        <v>11513</v>
      </c>
      <c r="AC187" s="580">
        <v>12035</v>
      </c>
      <c r="AD187" s="580">
        <v>6969</v>
      </c>
      <c r="AE187" s="580">
        <v>7318.4699999988097</v>
      </c>
      <c r="AF187" s="580">
        <v>8000</v>
      </c>
      <c r="AG187" s="580">
        <v>0</v>
      </c>
      <c r="AH187" s="580">
        <v>0</v>
      </c>
      <c r="AI187" s="580">
        <v>0</v>
      </c>
      <c r="AJ187" s="580">
        <v>0</v>
      </c>
      <c r="AK187" s="580">
        <v>0</v>
      </c>
      <c r="AL187" s="592">
        <v>0</v>
      </c>
    </row>
    <row r="188" spans="1:38">
      <c r="A188" t="s">
        <v>91</v>
      </c>
      <c r="B188" t="s">
        <v>3</v>
      </c>
      <c r="C188" s="580">
        <v>6636166.7599987201</v>
      </c>
      <c r="D188" s="580">
        <v>7749872</v>
      </c>
      <c r="E188" s="580">
        <v>7993566</v>
      </c>
      <c r="F188" s="580">
        <v>8474477</v>
      </c>
      <c r="G188" s="580">
        <v>8948196.8700023498</v>
      </c>
      <c r="H188" s="580">
        <v>9038791.4000016097</v>
      </c>
      <c r="I188" s="580">
        <v>9224784.8800045308</v>
      </c>
      <c r="J188" s="580">
        <v>9442716.3399989195</v>
      </c>
      <c r="K188" s="580">
        <v>9910973.2899940405</v>
      </c>
      <c r="L188" s="580">
        <v>10166665.259996399</v>
      </c>
      <c r="M188" s="580">
        <v>10605893.9700012</v>
      </c>
      <c r="N188" s="592">
        <v>10799240.4300042</v>
      </c>
      <c r="O188" s="580">
        <v>0</v>
      </c>
      <c r="P188" s="580">
        <v>0</v>
      </c>
      <c r="Q188" s="580">
        <v>0</v>
      </c>
      <c r="R188" s="580">
        <v>0</v>
      </c>
      <c r="S188" s="580">
        <v>0</v>
      </c>
      <c r="T188" s="580">
        <v>0</v>
      </c>
      <c r="U188" s="580">
        <v>0</v>
      </c>
      <c r="V188" s="580">
        <v>0</v>
      </c>
      <c r="W188" s="580">
        <v>0</v>
      </c>
      <c r="X188" s="580">
        <v>0</v>
      </c>
      <c r="Y188" s="580">
        <v>0</v>
      </c>
      <c r="Z188" s="592">
        <v>0</v>
      </c>
      <c r="AA188" s="580">
        <v>6636166.7599987201</v>
      </c>
      <c r="AB188" s="580">
        <v>7749872</v>
      </c>
      <c r="AC188" s="580">
        <v>7993566</v>
      </c>
      <c r="AD188" s="580">
        <v>8474477</v>
      </c>
      <c r="AE188" s="580">
        <v>8948196.8700023498</v>
      </c>
      <c r="AF188" s="580">
        <v>9038791.4000016097</v>
      </c>
      <c r="AG188" s="580">
        <v>9224784.8800045308</v>
      </c>
      <c r="AH188" s="580">
        <v>9442716.3399989195</v>
      </c>
      <c r="AI188" s="580">
        <v>9910973.2899940405</v>
      </c>
      <c r="AJ188" s="580">
        <v>10166665.259996399</v>
      </c>
      <c r="AK188" s="580">
        <v>10605893.9700012</v>
      </c>
      <c r="AL188" s="592">
        <v>10799240.4300042</v>
      </c>
    </row>
    <row r="189" spans="1:38">
      <c r="B189" t="s">
        <v>5</v>
      </c>
      <c r="C189" s="580">
        <v>5668444.0999984704</v>
      </c>
      <c r="D189" s="580">
        <v>6614295</v>
      </c>
      <c r="E189" s="580">
        <v>6895160</v>
      </c>
      <c r="F189" s="580">
        <v>7488201</v>
      </c>
      <c r="G189" s="580">
        <v>8091397.51000214</v>
      </c>
      <c r="H189" s="580">
        <v>8256501.3300018301</v>
      </c>
      <c r="I189" s="580">
        <v>8476893.1300048791</v>
      </c>
      <c r="J189" s="580">
        <v>8773345.5299987793</v>
      </c>
      <c r="K189" s="580">
        <v>9222721.1499939002</v>
      </c>
      <c r="L189" s="580">
        <v>9453362.8399963398</v>
      </c>
      <c r="M189" s="580">
        <v>9951720.7200012207</v>
      </c>
      <c r="N189" s="592">
        <v>10161000.5200043</v>
      </c>
      <c r="O189" s="580">
        <v>0</v>
      </c>
      <c r="P189" s="580">
        <v>0</v>
      </c>
      <c r="Q189" s="580">
        <v>0</v>
      </c>
      <c r="R189" s="580">
        <v>0</v>
      </c>
      <c r="S189" s="580">
        <v>0</v>
      </c>
      <c r="T189" s="580">
        <v>0</v>
      </c>
      <c r="U189" s="580">
        <v>0</v>
      </c>
      <c r="V189" s="580">
        <v>0</v>
      </c>
      <c r="W189" s="580">
        <v>0</v>
      </c>
      <c r="X189" s="580">
        <v>0</v>
      </c>
      <c r="Y189" s="580">
        <v>0</v>
      </c>
      <c r="Z189" s="592">
        <v>0</v>
      </c>
      <c r="AA189" s="580">
        <v>5668444.0999984704</v>
      </c>
      <c r="AB189" s="580">
        <v>6614295</v>
      </c>
      <c r="AC189" s="580">
        <v>6895160</v>
      </c>
      <c r="AD189" s="580">
        <v>7488201</v>
      </c>
      <c r="AE189" s="580">
        <v>8091397.51000214</v>
      </c>
      <c r="AF189" s="580">
        <v>8256501.3300018301</v>
      </c>
      <c r="AG189" s="580">
        <v>8476893.1300048791</v>
      </c>
      <c r="AH189" s="580">
        <v>8773345.5299987793</v>
      </c>
      <c r="AI189" s="580">
        <v>9222721.1499939002</v>
      </c>
      <c r="AJ189" s="580">
        <v>9453362.8399963398</v>
      </c>
      <c r="AK189" s="580">
        <v>9951720.7200012207</v>
      </c>
      <c r="AL189" s="592">
        <v>10161000.5200043</v>
      </c>
    </row>
    <row r="190" spans="1:38">
      <c r="B190" t="s">
        <v>6</v>
      </c>
      <c r="C190" s="580">
        <v>1000</v>
      </c>
      <c r="D190" s="580">
        <v>1920</v>
      </c>
      <c r="E190" s="580">
        <v>1820</v>
      </c>
      <c r="F190" s="580">
        <v>3000</v>
      </c>
      <c r="G190" s="580">
        <v>3500</v>
      </c>
      <c r="H190" s="580">
        <v>3420</v>
      </c>
      <c r="I190" s="580">
        <v>4980</v>
      </c>
      <c r="J190" s="580">
        <v>5580</v>
      </c>
      <c r="K190" s="580">
        <v>6120</v>
      </c>
      <c r="L190" s="580">
        <v>7630</v>
      </c>
      <c r="M190" s="580">
        <v>9330</v>
      </c>
      <c r="N190" s="592">
        <v>9492</v>
      </c>
      <c r="O190" s="580">
        <v>0</v>
      </c>
      <c r="P190" s="580">
        <v>0</v>
      </c>
      <c r="Q190" s="580">
        <v>0</v>
      </c>
      <c r="R190" s="580">
        <v>0</v>
      </c>
      <c r="S190" s="580">
        <v>0</v>
      </c>
      <c r="T190" s="580">
        <v>0</v>
      </c>
      <c r="U190" s="580">
        <v>0</v>
      </c>
      <c r="V190" s="580">
        <v>0</v>
      </c>
      <c r="W190" s="580">
        <v>0</v>
      </c>
      <c r="X190" s="580">
        <v>0</v>
      </c>
      <c r="Y190" s="580">
        <v>0</v>
      </c>
      <c r="Z190" s="592">
        <v>0</v>
      </c>
      <c r="AA190" s="580">
        <v>1000</v>
      </c>
      <c r="AB190" s="580">
        <v>1920</v>
      </c>
      <c r="AC190" s="580">
        <v>1820</v>
      </c>
      <c r="AD190" s="580">
        <v>3000</v>
      </c>
      <c r="AE190" s="580">
        <v>3500</v>
      </c>
      <c r="AF190" s="580">
        <v>3420</v>
      </c>
      <c r="AG190" s="580">
        <v>4980</v>
      </c>
      <c r="AH190" s="580">
        <v>5580</v>
      </c>
      <c r="AI190" s="580">
        <v>6120</v>
      </c>
      <c r="AJ190" s="580">
        <v>7630</v>
      </c>
      <c r="AK190" s="580">
        <v>9330</v>
      </c>
      <c r="AL190" s="592">
        <v>9492</v>
      </c>
    </row>
    <row r="191" spans="1:38">
      <c r="B191" t="s">
        <v>7</v>
      </c>
      <c r="C191" s="580">
        <v>705593.72000026703</v>
      </c>
      <c r="D191" s="580">
        <v>826359</v>
      </c>
      <c r="E191" s="580">
        <v>799806</v>
      </c>
      <c r="F191" s="580">
        <v>716790</v>
      </c>
      <c r="G191" s="580">
        <v>633676.260000229</v>
      </c>
      <c r="H191" s="580">
        <v>572740.739999771</v>
      </c>
      <c r="I191" s="580">
        <v>549051.10999965703</v>
      </c>
      <c r="J191" s="580">
        <v>484991.82000017201</v>
      </c>
      <c r="K191" s="580">
        <v>493731.03000020998</v>
      </c>
      <c r="L191" s="580">
        <v>509456.15000009502</v>
      </c>
      <c r="M191" s="580">
        <v>458454.48000001902</v>
      </c>
      <c r="N191" s="592">
        <v>449145.80999994301</v>
      </c>
      <c r="O191" s="580">
        <v>0</v>
      </c>
      <c r="P191" s="580">
        <v>0</v>
      </c>
      <c r="Q191" s="580">
        <v>0</v>
      </c>
      <c r="R191" s="580">
        <v>0</v>
      </c>
      <c r="S191" s="580">
        <v>0</v>
      </c>
      <c r="T191" s="580">
        <v>0</v>
      </c>
      <c r="U191" s="580">
        <v>0</v>
      </c>
      <c r="V191" s="580">
        <v>0</v>
      </c>
      <c r="W191" s="580">
        <v>0</v>
      </c>
      <c r="X191" s="580">
        <v>0</v>
      </c>
      <c r="Y191" s="580">
        <v>0</v>
      </c>
      <c r="Z191" s="592">
        <v>0</v>
      </c>
      <c r="AA191" s="580">
        <v>705593.72000026703</v>
      </c>
      <c r="AB191" s="580">
        <v>826359</v>
      </c>
      <c r="AC191" s="580">
        <v>799806</v>
      </c>
      <c r="AD191" s="580">
        <v>716790</v>
      </c>
      <c r="AE191" s="580">
        <v>633676.260000229</v>
      </c>
      <c r="AF191" s="580">
        <v>572740.739999771</v>
      </c>
      <c r="AG191" s="580">
        <v>549051.10999965703</v>
      </c>
      <c r="AH191" s="580">
        <v>484991.82000017201</v>
      </c>
      <c r="AI191" s="580">
        <v>493731.03000020998</v>
      </c>
      <c r="AJ191" s="580">
        <v>509456.15000009502</v>
      </c>
      <c r="AK191" s="580">
        <v>458454.48000001902</v>
      </c>
      <c r="AL191" s="592">
        <v>449145.80999994301</v>
      </c>
    </row>
    <row r="192" spans="1:38">
      <c r="B192" t="s">
        <v>8</v>
      </c>
      <c r="C192" s="580">
        <v>129402.769999981</v>
      </c>
      <c r="D192" s="580">
        <v>152772</v>
      </c>
      <c r="E192" s="580">
        <v>149660</v>
      </c>
      <c r="F192" s="580">
        <v>128168</v>
      </c>
      <c r="G192" s="580">
        <v>102182.100000024</v>
      </c>
      <c r="H192" s="580">
        <v>95988.740000009493</v>
      </c>
      <c r="I192" s="580">
        <v>90024.269999980897</v>
      </c>
      <c r="J192" s="580">
        <v>72846.389999985695</v>
      </c>
      <c r="K192" s="580">
        <v>74226.049999952302</v>
      </c>
      <c r="L192" s="580">
        <v>75272.429999947504</v>
      </c>
      <c r="M192" s="580">
        <v>70221.309999942794</v>
      </c>
      <c r="N192" s="592">
        <v>73846.649999976202</v>
      </c>
      <c r="O192" s="580">
        <v>0</v>
      </c>
      <c r="P192" s="580">
        <v>0</v>
      </c>
      <c r="Q192" s="580">
        <v>0</v>
      </c>
      <c r="R192" s="580">
        <v>0</v>
      </c>
      <c r="S192" s="580">
        <v>0</v>
      </c>
      <c r="T192" s="580">
        <v>0</v>
      </c>
      <c r="U192" s="580">
        <v>0</v>
      </c>
      <c r="V192" s="580">
        <v>0</v>
      </c>
      <c r="W192" s="580">
        <v>0</v>
      </c>
      <c r="X192" s="580">
        <v>0</v>
      </c>
      <c r="Y192" s="580">
        <v>0</v>
      </c>
      <c r="Z192" s="592">
        <v>0</v>
      </c>
      <c r="AA192" s="580">
        <v>129402.769999981</v>
      </c>
      <c r="AB192" s="580">
        <v>152772</v>
      </c>
      <c r="AC192" s="580">
        <v>149660</v>
      </c>
      <c r="AD192" s="580">
        <v>128168</v>
      </c>
      <c r="AE192" s="580">
        <v>102182.100000024</v>
      </c>
      <c r="AF192" s="580">
        <v>95988.740000009493</v>
      </c>
      <c r="AG192" s="580">
        <v>90024.269999980897</v>
      </c>
      <c r="AH192" s="580">
        <v>72846.389999985695</v>
      </c>
      <c r="AI192" s="580">
        <v>74226.049999952302</v>
      </c>
      <c r="AJ192" s="580">
        <v>75272.429999947504</v>
      </c>
      <c r="AK192" s="580">
        <v>70221.309999942794</v>
      </c>
      <c r="AL192" s="592">
        <v>73846.649999976202</v>
      </c>
    </row>
    <row r="193" spans="2:38">
      <c r="B193" t="s">
        <v>9</v>
      </c>
      <c r="C193" s="580">
        <v>44129.810000002399</v>
      </c>
      <c r="D193" s="580">
        <v>50494</v>
      </c>
      <c r="E193" s="580">
        <v>50374</v>
      </c>
      <c r="F193" s="580">
        <v>38078</v>
      </c>
      <c r="G193" s="580">
        <v>31474.129999995199</v>
      </c>
      <c r="H193" s="580">
        <v>36738.139999985702</v>
      </c>
      <c r="I193" s="580">
        <v>35281.879999995203</v>
      </c>
      <c r="J193" s="580">
        <v>40579.189999997601</v>
      </c>
      <c r="K193" s="580">
        <v>45765.279999971397</v>
      </c>
      <c r="L193" s="580">
        <v>50495.689999997601</v>
      </c>
      <c r="M193" s="580">
        <v>41276.660000026197</v>
      </c>
      <c r="N193" s="592">
        <v>29017.889999985699</v>
      </c>
      <c r="O193" s="580">
        <v>0</v>
      </c>
      <c r="P193" s="580">
        <v>0</v>
      </c>
      <c r="Q193" s="580">
        <v>0</v>
      </c>
      <c r="R193" s="580">
        <v>0</v>
      </c>
      <c r="S193" s="580">
        <v>0</v>
      </c>
      <c r="T193" s="580">
        <v>0</v>
      </c>
      <c r="U193" s="580">
        <v>0</v>
      </c>
      <c r="V193" s="580">
        <v>0</v>
      </c>
      <c r="W193" s="580">
        <v>0</v>
      </c>
      <c r="X193" s="580">
        <v>0</v>
      </c>
      <c r="Y193" s="580">
        <v>0</v>
      </c>
      <c r="Z193" s="592">
        <v>0</v>
      </c>
      <c r="AA193" s="580">
        <v>44129.810000002399</v>
      </c>
      <c r="AB193" s="580">
        <v>50494</v>
      </c>
      <c r="AC193" s="580">
        <v>50374</v>
      </c>
      <c r="AD193" s="580">
        <v>38078</v>
      </c>
      <c r="AE193" s="580">
        <v>31474.129999995199</v>
      </c>
      <c r="AF193" s="580">
        <v>36738.139999985702</v>
      </c>
      <c r="AG193" s="580">
        <v>35281.879999995203</v>
      </c>
      <c r="AH193" s="580">
        <v>40579.189999997601</v>
      </c>
      <c r="AI193" s="580">
        <v>45765.279999971397</v>
      </c>
      <c r="AJ193" s="580">
        <v>50495.689999997601</v>
      </c>
      <c r="AK193" s="580">
        <v>41276.660000026197</v>
      </c>
      <c r="AL193" s="592">
        <v>29017.889999985699</v>
      </c>
    </row>
    <row r="194" spans="2:38">
      <c r="B194" t="s">
        <v>10</v>
      </c>
      <c r="C194" s="580">
        <v>18051.050000011899</v>
      </c>
      <c r="D194" s="580">
        <v>20607</v>
      </c>
      <c r="E194" s="580">
        <v>21782</v>
      </c>
      <c r="F194" s="580">
        <v>28207</v>
      </c>
      <c r="G194" s="580">
        <v>21023.659999996398</v>
      </c>
      <c r="H194" s="580">
        <v>13480.3199999928</v>
      </c>
      <c r="I194" s="580">
        <v>14478.329999998199</v>
      </c>
      <c r="J194" s="580">
        <v>46506.329999983303</v>
      </c>
      <c r="K194" s="580">
        <v>48086.180000007203</v>
      </c>
      <c r="L194" s="580">
        <v>48809.649999976202</v>
      </c>
      <c r="M194" s="580">
        <v>57936.189999997601</v>
      </c>
      <c r="N194" s="592">
        <v>58731.790000021501</v>
      </c>
      <c r="O194" s="580">
        <v>0</v>
      </c>
      <c r="P194" s="580">
        <v>0</v>
      </c>
      <c r="Q194" s="580">
        <v>0</v>
      </c>
      <c r="R194" s="580">
        <v>0</v>
      </c>
      <c r="S194" s="580">
        <v>0</v>
      </c>
      <c r="T194" s="580">
        <v>0</v>
      </c>
      <c r="U194" s="580">
        <v>0</v>
      </c>
      <c r="V194" s="580">
        <v>0</v>
      </c>
      <c r="W194" s="580">
        <v>0</v>
      </c>
      <c r="X194" s="580">
        <v>0</v>
      </c>
      <c r="Y194" s="580">
        <v>0</v>
      </c>
      <c r="Z194" s="592">
        <v>0</v>
      </c>
      <c r="AA194" s="580">
        <v>18051.050000011899</v>
      </c>
      <c r="AB194" s="580">
        <v>20607</v>
      </c>
      <c r="AC194" s="580">
        <v>21782</v>
      </c>
      <c r="AD194" s="580">
        <v>28207</v>
      </c>
      <c r="AE194" s="580">
        <v>21023.659999996398</v>
      </c>
      <c r="AF194" s="580">
        <v>13480.3199999928</v>
      </c>
      <c r="AG194" s="580">
        <v>14478.329999998199</v>
      </c>
      <c r="AH194" s="580">
        <v>46506.329999983303</v>
      </c>
      <c r="AI194" s="580">
        <v>48086.180000007203</v>
      </c>
      <c r="AJ194" s="580">
        <v>48809.649999976202</v>
      </c>
      <c r="AK194" s="580">
        <v>57936.189999997601</v>
      </c>
      <c r="AL194" s="592">
        <v>58731.790000021501</v>
      </c>
    </row>
    <row r="195" spans="2:38">
      <c r="B195" t="s">
        <v>11</v>
      </c>
      <c r="C195" s="580">
        <v>15043.780000001199</v>
      </c>
      <c r="D195" s="580">
        <v>18009</v>
      </c>
      <c r="E195" s="580">
        <v>11071</v>
      </c>
      <c r="F195" s="580">
        <v>9794</v>
      </c>
      <c r="G195" s="580">
        <v>42833.089999973803</v>
      </c>
      <c r="H195" s="580">
        <v>44935.540000021501</v>
      </c>
      <c r="I195" s="580">
        <v>40919.230000019103</v>
      </c>
      <c r="J195" s="580">
        <v>4931.2700000032801</v>
      </c>
      <c r="K195" s="580">
        <v>8339.6200000047702</v>
      </c>
      <c r="L195" s="580">
        <v>8879.17000000179</v>
      </c>
      <c r="M195" s="580">
        <v>3419.5300000011898</v>
      </c>
      <c r="N195" s="592">
        <v>3631.53999999911</v>
      </c>
      <c r="O195" s="580">
        <v>0</v>
      </c>
      <c r="P195" s="580">
        <v>0</v>
      </c>
      <c r="Q195" s="580">
        <v>0</v>
      </c>
      <c r="R195" s="580">
        <v>0</v>
      </c>
      <c r="S195" s="580">
        <v>0</v>
      </c>
      <c r="T195" s="580">
        <v>0</v>
      </c>
      <c r="U195" s="580">
        <v>0</v>
      </c>
      <c r="V195" s="580">
        <v>0</v>
      </c>
      <c r="W195" s="580">
        <v>0</v>
      </c>
      <c r="X195" s="580">
        <v>0</v>
      </c>
      <c r="Y195" s="580">
        <v>0</v>
      </c>
      <c r="Z195" s="592">
        <v>0</v>
      </c>
      <c r="AA195" s="580">
        <v>15043.780000001199</v>
      </c>
      <c r="AB195" s="580">
        <v>18009</v>
      </c>
      <c r="AC195" s="580">
        <v>11071</v>
      </c>
      <c r="AD195" s="580">
        <v>9794</v>
      </c>
      <c r="AE195" s="580">
        <v>42833.089999973803</v>
      </c>
      <c r="AF195" s="580">
        <v>44935.540000021501</v>
      </c>
      <c r="AG195" s="580">
        <v>40919.230000019103</v>
      </c>
      <c r="AH195" s="580">
        <v>4931.2700000032801</v>
      </c>
      <c r="AI195" s="580">
        <v>8339.6200000047702</v>
      </c>
      <c r="AJ195" s="580">
        <v>8879.17000000179</v>
      </c>
      <c r="AK195" s="580">
        <v>3419.5300000011898</v>
      </c>
      <c r="AL195" s="592">
        <v>3631.53999999911</v>
      </c>
    </row>
    <row r="196" spans="2:38">
      <c r="B196" t="s">
        <v>12</v>
      </c>
      <c r="C196" s="580">
        <v>5215.6099999994003</v>
      </c>
      <c r="D196" s="580">
        <v>6244</v>
      </c>
      <c r="E196" s="580">
        <v>40114</v>
      </c>
      <c r="F196" s="580">
        <v>39535</v>
      </c>
      <c r="G196" s="580">
        <v>9116.5499999970198</v>
      </c>
      <c r="H196" s="580">
        <v>4983.3999999985099</v>
      </c>
      <c r="I196" s="580">
        <v>2653.5899999998501</v>
      </c>
      <c r="J196" s="580">
        <v>6012.2599999979102</v>
      </c>
      <c r="K196" s="580">
        <v>3448.73999999836</v>
      </c>
      <c r="L196" s="580">
        <v>3671.8700000010399</v>
      </c>
      <c r="M196" s="580">
        <v>8037.2000000029802</v>
      </c>
      <c r="N196" s="592">
        <v>8535.4899999946392</v>
      </c>
      <c r="O196" s="580">
        <v>0</v>
      </c>
      <c r="P196" s="580">
        <v>0</v>
      </c>
      <c r="Q196" s="580">
        <v>0</v>
      </c>
      <c r="R196" s="580">
        <v>0</v>
      </c>
      <c r="S196" s="580">
        <v>0</v>
      </c>
      <c r="T196" s="580">
        <v>0</v>
      </c>
      <c r="U196" s="580">
        <v>0</v>
      </c>
      <c r="V196" s="580">
        <v>0</v>
      </c>
      <c r="W196" s="580">
        <v>0</v>
      </c>
      <c r="X196" s="580">
        <v>0</v>
      </c>
      <c r="Y196" s="580">
        <v>0</v>
      </c>
      <c r="Z196" s="592">
        <v>0</v>
      </c>
      <c r="AA196" s="580">
        <v>5215.6099999994003</v>
      </c>
      <c r="AB196" s="580">
        <v>6244</v>
      </c>
      <c r="AC196" s="580">
        <v>40114</v>
      </c>
      <c r="AD196" s="580">
        <v>39535</v>
      </c>
      <c r="AE196" s="580">
        <v>9116.5499999970198</v>
      </c>
      <c r="AF196" s="580">
        <v>4983.3999999985099</v>
      </c>
      <c r="AG196" s="580">
        <v>2653.5899999998501</v>
      </c>
      <c r="AH196" s="580">
        <v>6012.2599999979102</v>
      </c>
      <c r="AI196" s="580">
        <v>3448.73999999836</v>
      </c>
      <c r="AJ196" s="580">
        <v>3671.8700000010399</v>
      </c>
      <c r="AK196" s="580">
        <v>8037.2000000029802</v>
      </c>
      <c r="AL196" s="592">
        <v>8535.4899999946392</v>
      </c>
    </row>
    <row r="197" spans="2:38">
      <c r="B197" t="s">
        <v>13</v>
      </c>
      <c r="C197" s="580">
        <v>29552.889999985699</v>
      </c>
      <c r="D197" s="580">
        <v>35562</v>
      </c>
      <c r="E197" s="580">
        <v>1954</v>
      </c>
      <c r="F197" s="580">
        <v>2330</v>
      </c>
      <c r="G197" s="580">
        <v>2786.75</v>
      </c>
      <c r="H197" s="580">
        <v>2878.71000000089</v>
      </c>
      <c r="I197" s="580">
        <v>6236.9399999976204</v>
      </c>
      <c r="J197" s="580">
        <v>3404.57999999821</v>
      </c>
      <c r="K197" s="580">
        <v>3667.4100000001499</v>
      </c>
      <c r="L197" s="580">
        <v>3904.6900000013402</v>
      </c>
      <c r="M197" s="580">
        <v>0</v>
      </c>
      <c r="N197" s="592">
        <v>0</v>
      </c>
      <c r="O197" s="580">
        <v>0</v>
      </c>
      <c r="P197" s="580">
        <v>0</v>
      </c>
      <c r="Q197" s="580">
        <v>0</v>
      </c>
      <c r="R197" s="580">
        <v>0</v>
      </c>
      <c r="S197" s="580">
        <v>0</v>
      </c>
      <c r="T197" s="580">
        <v>0</v>
      </c>
      <c r="U197" s="580">
        <v>0</v>
      </c>
      <c r="V197" s="580">
        <v>0</v>
      </c>
      <c r="W197" s="580">
        <v>0</v>
      </c>
      <c r="X197" s="580">
        <v>0</v>
      </c>
      <c r="Y197" s="580">
        <v>0</v>
      </c>
      <c r="Z197" s="592">
        <v>0</v>
      </c>
      <c r="AA197" s="580">
        <v>29552.889999985699</v>
      </c>
      <c r="AB197" s="580">
        <v>35562</v>
      </c>
      <c r="AC197" s="580">
        <v>1954</v>
      </c>
      <c r="AD197" s="580">
        <v>2330</v>
      </c>
      <c r="AE197" s="580">
        <v>2786.75</v>
      </c>
      <c r="AF197" s="580">
        <v>2878.71000000089</v>
      </c>
      <c r="AG197" s="580">
        <v>6236.9399999976204</v>
      </c>
      <c r="AH197" s="580">
        <v>3404.57999999821</v>
      </c>
      <c r="AI197" s="580">
        <v>3667.4100000001499</v>
      </c>
      <c r="AJ197" s="580">
        <v>3904.6900000013402</v>
      </c>
      <c r="AK197" s="580">
        <v>0</v>
      </c>
      <c r="AL197" s="592">
        <v>0</v>
      </c>
    </row>
    <row r="198" spans="2:38">
      <c r="B198" t="s">
        <v>14</v>
      </c>
      <c r="C198" s="580">
        <v>1750.6099999994001</v>
      </c>
      <c r="D198" s="580">
        <v>2096</v>
      </c>
      <c r="E198" s="580">
        <v>2191</v>
      </c>
      <c r="F198" s="580">
        <v>2654</v>
      </c>
      <c r="G198" s="580">
        <v>2963.4499999992499</v>
      </c>
      <c r="H198" s="580">
        <v>3061.23999999836</v>
      </c>
      <c r="I198" s="580">
        <v>0</v>
      </c>
      <c r="J198" s="580">
        <v>0</v>
      </c>
      <c r="K198" s="580">
        <v>0</v>
      </c>
      <c r="L198" s="580">
        <v>0</v>
      </c>
      <c r="M198" s="580">
        <v>5497.8800000026804</v>
      </c>
      <c r="N198" s="592">
        <v>5838.7400000020898</v>
      </c>
      <c r="O198" s="580">
        <v>0</v>
      </c>
      <c r="P198" s="580">
        <v>0</v>
      </c>
      <c r="Q198" s="580">
        <v>0</v>
      </c>
      <c r="R198" s="580">
        <v>0</v>
      </c>
      <c r="S198" s="580">
        <v>0</v>
      </c>
      <c r="T198" s="580">
        <v>0</v>
      </c>
      <c r="U198" s="580">
        <v>0</v>
      </c>
      <c r="V198" s="580">
        <v>0</v>
      </c>
      <c r="W198" s="580">
        <v>0</v>
      </c>
      <c r="X198" s="580">
        <v>0</v>
      </c>
      <c r="Y198" s="580">
        <v>0</v>
      </c>
      <c r="Z198" s="592">
        <v>0</v>
      </c>
      <c r="AA198" s="580">
        <v>1750.6099999994001</v>
      </c>
      <c r="AB198" s="580">
        <v>2096</v>
      </c>
      <c r="AC198" s="580">
        <v>2191</v>
      </c>
      <c r="AD198" s="580">
        <v>2654</v>
      </c>
      <c r="AE198" s="580">
        <v>2963.4499999992499</v>
      </c>
      <c r="AF198" s="580">
        <v>3061.23999999836</v>
      </c>
      <c r="AG198" s="580">
        <v>0</v>
      </c>
      <c r="AH198" s="580">
        <v>0</v>
      </c>
      <c r="AI198" s="580">
        <v>0</v>
      </c>
      <c r="AJ198" s="580">
        <v>0</v>
      </c>
      <c r="AK198" s="580">
        <v>5497.8800000026804</v>
      </c>
      <c r="AL198" s="592">
        <v>5838.7400000020898</v>
      </c>
    </row>
    <row r="199" spans="2:38">
      <c r="B199" t="s">
        <v>15</v>
      </c>
      <c r="C199" s="580">
        <v>1994.0700000003001</v>
      </c>
      <c r="D199" s="580">
        <v>2387</v>
      </c>
      <c r="E199" s="580">
        <v>2495</v>
      </c>
      <c r="F199" s="580">
        <v>2822</v>
      </c>
      <c r="G199" s="580">
        <v>3309.9299999997002</v>
      </c>
      <c r="H199" s="580">
        <v>0</v>
      </c>
      <c r="I199" s="580">
        <v>0</v>
      </c>
      <c r="J199" s="580">
        <v>4518.9699999988097</v>
      </c>
      <c r="K199" s="580">
        <v>4867.82999999821</v>
      </c>
      <c r="L199" s="580">
        <v>5182.7700000032801</v>
      </c>
      <c r="M199" s="580">
        <v>0</v>
      </c>
      <c r="N199" s="592">
        <v>0</v>
      </c>
      <c r="O199" s="580">
        <v>0</v>
      </c>
      <c r="P199" s="580">
        <v>0</v>
      </c>
      <c r="Q199" s="580">
        <v>0</v>
      </c>
      <c r="R199" s="580">
        <v>0</v>
      </c>
      <c r="S199" s="580">
        <v>0</v>
      </c>
      <c r="T199" s="580">
        <v>0</v>
      </c>
      <c r="U199" s="580">
        <v>0</v>
      </c>
      <c r="V199" s="580">
        <v>0</v>
      </c>
      <c r="W199" s="580">
        <v>0</v>
      </c>
      <c r="X199" s="580">
        <v>0</v>
      </c>
      <c r="Y199" s="580">
        <v>0</v>
      </c>
      <c r="Z199" s="592">
        <v>0</v>
      </c>
      <c r="AA199" s="580">
        <v>1994.0700000003001</v>
      </c>
      <c r="AB199" s="580">
        <v>2387</v>
      </c>
      <c r="AC199" s="580">
        <v>2495</v>
      </c>
      <c r="AD199" s="580">
        <v>2822</v>
      </c>
      <c r="AE199" s="580">
        <v>3309.9299999997002</v>
      </c>
      <c r="AF199" s="580">
        <v>0</v>
      </c>
      <c r="AG199" s="580">
        <v>0</v>
      </c>
      <c r="AH199" s="580">
        <v>4518.9699999988097</v>
      </c>
      <c r="AI199" s="580">
        <v>4867.82999999821</v>
      </c>
      <c r="AJ199" s="580">
        <v>5182.7700000032801</v>
      </c>
      <c r="AK199" s="580">
        <v>0</v>
      </c>
      <c r="AL199" s="592">
        <v>0</v>
      </c>
    </row>
    <row r="200" spans="2:38">
      <c r="B200" t="s">
        <v>16</v>
      </c>
      <c r="C200" s="580">
        <v>9506.5600000023805</v>
      </c>
      <c r="D200" s="580">
        <v>11368</v>
      </c>
      <c r="E200" s="580">
        <v>9139</v>
      </c>
      <c r="F200" s="580">
        <v>6898</v>
      </c>
      <c r="G200" s="580">
        <v>3933.4400000013402</v>
      </c>
      <c r="H200" s="580">
        <v>4063.23999999836</v>
      </c>
      <c r="I200" s="580">
        <v>4266.3999999985099</v>
      </c>
      <c r="J200" s="580">
        <v>0</v>
      </c>
      <c r="K200" s="580">
        <v>0</v>
      </c>
      <c r="L200" s="580">
        <v>0</v>
      </c>
      <c r="M200" s="580">
        <v>0</v>
      </c>
      <c r="N200" s="592">
        <v>0</v>
      </c>
      <c r="O200" s="580">
        <v>0</v>
      </c>
      <c r="P200" s="580">
        <v>0</v>
      </c>
      <c r="Q200" s="580">
        <v>0</v>
      </c>
      <c r="R200" s="580">
        <v>0</v>
      </c>
      <c r="S200" s="580">
        <v>0</v>
      </c>
      <c r="T200" s="580">
        <v>0</v>
      </c>
      <c r="U200" s="580">
        <v>0</v>
      </c>
      <c r="V200" s="580">
        <v>0</v>
      </c>
      <c r="W200" s="580">
        <v>0</v>
      </c>
      <c r="X200" s="580">
        <v>0</v>
      </c>
      <c r="Y200" s="580">
        <v>0</v>
      </c>
      <c r="Z200" s="592">
        <v>0</v>
      </c>
      <c r="AA200" s="580">
        <v>9506.5600000023805</v>
      </c>
      <c r="AB200" s="580">
        <v>11368</v>
      </c>
      <c r="AC200" s="580">
        <v>9139</v>
      </c>
      <c r="AD200" s="580">
        <v>6898</v>
      </c>
      <c r="AE200" s="580">
        <v>3933.4400000013402</v>
      </c>
      <c r="AF200" s="580">
        <v>4063.23999999836</v>
      </c>
      <c r="AG200" s="580">
        <v>4266.3999999985099</v>
      </c>
      <c r="AH200" s="580">
        <v>0</v>
      </c>
      <c r="AI200" s="580">
        <v>0</v>
      </c>
      <c r="AJ200" s="580">
        <v>0</v>
      </c>
      <c r="AK200" s="580">
        <v>0</v>
      </c>
      <c r="AL200" s="592">
        <v>0</v>
      </c>
    </row>
    <row r="201" spans="2:38">
      <c r="B201" t="s">
        <v>17</v>
      </c>
      <c r="C201" s="580">
        <v>6481.7899999991096</v>
      </c>
      <c r="D201" s="580">
        <v>7759</v>
      </c>
      <c r="E201" s="580">
        <v>8000</v>
      </c>
      <c r="F201" s="580">
        <v>8000</v>
      </c>
      <c r="G201" s="580">
        <v>0</v>
      </c>
      <c r="H201" s="580">
        <v>0</v>
      </c>
      <c r="I201" s="580">
        <v>0</v>
      </c>
      <c r="J201" s="580">
        <v>0</v>
      </c>
      <c r="K201" s="580">
        <v>0</v>
      </c>
      <c r="L201" s="580">
        <v>0</v>
      </c>
      <c r="M201" s="580">
        <v>0</v>
      </c>
      <c r="N201" s="592">
        <v>0</v>
      </c>
      <c r="O201" s="580">
        <v>0</v>
      </c>
      <c r="P201" s="580">
        <v>0</v>
      </c>
      <c r="Q201" s="580">
        <v>0</v>
      </c>
      <c r="R201" s="580">
        <v>0</v>
      </c>
      <c r="S201" s="580">
        <v>0</v>
      </c>
      <c r="T201" s="580">
        <v>0</v>
      </c>
      <c r="U201" s="580">
        <v>0</v>
      </c>
      <c r="V201" s="580">
        <v>0</v>
      </c>
      <c r="W201" s="580">
        <v>0</v>
      </c>
      <c r="X201" s="580">
        <v>0</v>
      </c>
      <c r="Y201" s="580">
        <v>0</v>
      </c>
      <c r="Z201" s="592">
        <v>0</v>
      </c>
      <c r="AA201" s="580">
        <v>6481.7899999991096</v>
      </c>
      <c r="AB201" s="580">
        <v>7759</v>
      </c>
      <c r="AC201" s="580">
        <v>8000</v>
      </c>
      <c r="AD201" s="580">
        <v>8000</v>
      </c>
      <c r="AE201" s="580">
        <v>0</v>
      </c>
      <c r="AF201" s="580">
        <v>0</v>
      </c>
      <c r="AG201" s="580">
        <v>0</v>
      </c>
      <c r="AH201" s="580">
        <v>0</v>
      </c>
      <c r="AI201" s="580">
        <v>0</v>
      </c>
      <c r="AJ201" s="580">
        <v>0</v>
      </c>
      <c r="AK201" s="580">
        <v>0</v>
      </c>
      <c r="AL201" s="592">
        <v>0</v>
      </c>
    </row>
    <row r="203" spans="2:38" s="135" customFormat="1">
      <c r="N203" s="9"/>
      <c r="Z203" s="9"/>
      <c r="AL203" s="9"/>
    </row>
  </sheetData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Q69"/>
  <sheetViews>
    <sheetView showGridLines="0" zoomScale="70" zoomScaleNormal="70" workbookViewId="0">
      <selection activeCell="K71" sqref="K71"/>
    </sheetView>
  </sheetViews>
  <sheetFormatPr defaultRowHeight="16.5"/>
  <cols>
    <col min="1" max="1" width="9.140625" style="99" customWidth="1"/>
    <col min="2" max="2" width="28.7109375" style="99" customWidth="1"/>
    <col min="3" max="3" width="24.140625" style="99" customWidth="1"/>
    <col min="4" max="15" width="8.7109375" style="99" customWidth="1"/>
    <col min="16" max="16" width="10" style="129" bestFit="1" customWidth="1"/>
    <col min="17" max="17" width="7.7109375" style="99" bestFit="1" customWidth="1"/>
    <col min="18" max="27" width="8.7109375" style="99" customWidth="1"/>
    <col min="28" max="28" width="11.85546875" style="99" bestFit="1" customWidth="1"/>
    <col min="29" max="29" width="8.28515625" style="99" bestFit="1" customWidth="1"/>
    <col min="30" max="40" width="8.7109375" style="99" customWidth="1"/>
    <col min="41" max="41" width="8.140625" style="99" bestFit="1" customWidth="1"/>
    <col min="42" max="16384" width="9.140625" style="99"/>
  </cols>
  <sheetData>
    <row r="1" spans="1:42" ht="25.5" customHeight="1">
      <c r="P1" s="596">
        <v>1000000</v>
      </c>
      <c r="T1" s="152"/>
      <c r="AG1" s="152"/>
    </row>
    <row r="2" spans="1:42" s="100" customFormat="1" ht="31.5" customHeight="1">
      <c r="A2" s="101"/>
      <c r="B2" s="133" t="s">
        <v>92</v>
      </c>
      <c r="C2" s="101"/>
      <c r="D2" s="632" t="s">
        <v>102</v>
      </c>
      <c r="E2" s="632"/>
      <c r="F2" s="632"/>
      <c r="G2" s="632"/>
      <c r="H2" s="632"/>
      <c r="I2" s="632"/>
      <c r="J2" s="632"/>
      <c r="K2" s="632"/>
      <c r="L2" s="632"/>
      <c r="M2" s="632"/>
      <c r="N2" s="632"/>
      <c r="O2" s="632"/>
      <c r="P2" s="130"/>
      <c r="Q2" s="632" t="s">
        <v>56</v>
      </c>
      <c r="R2" s="632"/>
      <c r="S2" s="632"/>
      <c r="T2" s="632"/>
      <c r="U2" s="632"/>
      <c r="V2" s="632"/>
      <c r="W2" s="632"/>
      <c r="X2" s="632"/>
      <c r="Y2" s="632"/>
      <c r="Z2" s="632"/>
      <c r="AA2" s="632"/>
      <c r="AB2" s="632"/>
      <c r="AC2" s="127"/>
      <c r="AD2" s="632" t="s">
        <v>37</v>
      </c>
      <c r="AE2" s="632"/>
      <c r="AF2" s="632"/>
      <c r="AG2" s="632"/>
      <c r="AH2" s="632"/>
      <c r="AI2" s="632"/>
      <c r="AJ2" s="632"/>
      <c r="AK2" s="632"/>
      <c r="AL2" s="632"/>
      <c r="AM2" s="632"/>
      <c r="AN2" s="632"/>
      <c r="AO2" s="632"/>
    </row>
    <row r="3" spans="1:42" ht="27" customHeight="1">
      <c r="B3" s="108"/>
      <c r="C3" s="108"/>
      <c r="D3" s="36">
        <v>2002</v>
      </c>
      <c r="E3" s="36">
        <v>2003</v>
      </c>
      <c r="F3" s="36">
        <v>2004</v>
      </c>
      <c r="G3" s="36">
        <v>2005</v>
      </c>
      <c r="H3" s="36">
        <v>2006</v>
      </c>
      <c r="I3" s="36">
        <v>2007</v>
      </c>
      <c r="J3" s="36">
        <v>2008</v>
      </c>
      <c r="K3" s="36">
        <v>2009</v>
      </c>
      <c r="L3" s="36">
        <v>2010</v>
      </c>
      <c r="M3" s="36">
        <v>2011</v>
      </c>
      <c r="N3" s="36">
        <v>2012</v>
      </c>
      <c r="O3" s="36">
        <v>2013</v>
      </c>
      <c r="P3" s="131">
        <v>2014</v>
      </c>
      <c r="Q3" s="36">
        <v>2002</v>
      </c>
      <c r="R3" s="36">
        <v>2003</v>
      </c>
      <c r="S3" s="36">
        <v>2004</v>
      </c>
      <c r="T3" s="36">
        <v>2005</v>
      </c>
      <c r="U3" s="36">
        <v>2006</v>
      </c>
      <c r="V3" s="36">
        <v>2007</v>
      </c>
      <c r="W3" s="36">
        <v>2008</v>
      </c>
      <c r="X3" s="36">
        <v>2009</v>
      </c>
      <c r="Y3" s="36">
        <v>2010</v>
      </c>
      <c r="Z3" s="36">
        <v>2011</v>
      </c>
      <c r="AA3" s="36">
        <v>2012</v>
      </c>
      <c r="AB3" s="36">
        <v>2013</v>
      </c>
      <c r="AC3" s="36">
        <v>2014</v>
      </c>
      <c r="AD3" s="36">
        <v>2002</v>
      </c>
      <c r="AE3" s="36">
        <v>2003</v>
      </c>
      <c r="AF3" s="36">
        <v>2004</v>
      </c>
      <c r="AG3" s="36">
        <v>2005</v>
      </c>
      <c r="AH3" s="36">
        <v>2006</v>
      </c>
      <c r="AI3" s="36">
        <v>2007</v>
      </c>
      <c r="AJ3" s="36">
        <v>2008</v>
      </c>
      <c r="AK3" s="36">
        <v>2009</v>
      </c>
      <c r="AL3" s="36">
        <v>2010</v>
      </c>
      <c r="AM3" s="36">
        <v>2011</v>
      </c>
      <c r="AN3" s="36">
        <v>2012</v>
      </c>
      <c r="AO3" s="36">
        <v>2013</v>
      </c>
      <c r="AP3" s="36">
        <v>2014</v>
      </c>
    </row>
    <row r="4" spans="1:42">
      <c r="B4" s="106" t="s">
        <v>53</v>
      </c>
      <c r="C4" s="105" t="s">
        <v>3</v>
      </c>
      <c r="D4" s="110">
        <f>(RGPS_Valor_Dezembro!C19)/1000000</f>
        <v>2508.0620144501299</v>
      </c>
      <c r="E4" s="110">
        <f>(RGPS_Valor_Dezembro!D19)/1000000</f>
        <v>3051.1287860000002</v>
      </c>
      <c r="F4" s="110">
        <f>(RGPS_Valor_Dezembro!E19)/1000000</f>
        <v>3356.7442900000001</v>
      </c>
      <c r="G4" s="110">
        <f>(RGPS_Valor_Dezembro!F19)/1000000</f>
        <v>3640.8832659999998</v>
      </c>
      <c r="H4" s="110">
        <f>(RGPS_Valor_Dezembro!G19)/1000000</f>
        <v>3934.9715174911998</v>
      </c>
      <c r="I4" s="110">
        <f>(RGPS_Valor_Dezembro!H19)/1000000</f>
        <v>4247.4868150093198</v>
      </c>
      <c r="J4" s="110">
        <f>(RGPS_Valor_Dezembro!I19)/1000000</f>
        <v>4664.6769931503295</v>
      </c>
      <c r="K4" s="110">
        <f>(RGPS_Valor_Dezembro!J19)/1000000</f>
        <v>5186.6815317497394</v>
      </c>
      <c r="L4" s="110">
        <f>(RGPS_Valor_Dezembro!K19)/1000000</f>
        <v>5807.0705107404101</v>
      </c>
      <c r="M4" s="110">
        <f>(RGPS_Valor_Dezembro!L19)/1000000</f>
        <v>6458.0293841501598</v>
      </c>
      <c r="N4" s="110">
        <f>(RGPS_Valor_Dezembro!M19)/1000000</f>
        <v>7164.1959498304705</v>
      </c>
      <c r="O4" s="110">
        <f>(RGPS_Valor_Dezembro!N19)/1000000</f>
        <v>7954.9786100490501</v>
      </c>
      <c r="P4" s="128">
        <v>7737.8140978899992</v>
      </c>
      <c r="Q4" s="111">
        <f>(RGPS_Valor_Dezembro!O19)/1000000</f>
        <v>2.94915272000032</v>
      </c>
      <c r="R4" s="112">
        <f>(RGPS_Valor_Dezembro!P19)/1000000</f>
        <v>3.7300330000000002</v>
      </c>
      <c r="S4" s="112">
        <f>(RGPS_Valor_Dezembro!Q19)/1000000</f>
        <v>4.3120620000000001</v>
      </c>
      <c r="T4" s="112">
        <f>(RGPS_Valor_Dezembro!R19)/1000000</f>
        <v>5.2109480000000001</v>
      </c>
      <c r="U4" s="112">
        <f>(RGPS_Valor_Dezembro!S19)/1000000</f>
        <v>6.2947002800006295</v>
      </c>
      <c r="V4" s="112">
        <f>(RGPS_Valor_Dezembro!T19)/1000000</f>
        <v>7.0567513799997199</v>
      </c>
      <c r="W4" s="112">
        <f>(RGPS_Valor_Dezembro!U19)/1000000</f>
        <v>8.1375824699992894</v>
      </c>
      <c r="X4" s="112">
        <f>(RGPS_Valor_Dezembro!V19)/1000000</f>
        <v>9.6315146199998711</v>
      </c>
      <c r="Y4" s="112">
        <f>(RGPS_Valor_Dezembro!W19)/1000000</f>
        <v>11.117676090000399</v>
      </c>
      <c r="Z4" s="112">
        <f>(RGPS_Valor_Dezembro!X19)/1000000</f>
        <v>12.481535560001399</v>
      </c>
      <c r="AA4" s="112">
        <f>(RGPS_Valor_Dezembro!Y19)/1000000</f>
        <v>14.265808729996898</v>
      </c>
      <c r="AB4" s="112">
        <f>(RGPS_Valor_Dezembro!Z19)/1000000</f>
        <v>16.120278740001801</v>
      </c>
      <c r="AC4" s="112">
        <v>18.04160929</v>
      </c>
      <c r="AD4" s="109">
        <f>(RGPS_Valor_Dezembro!AA19)/1000000</f>
        <v>2511.0111671701297</v>
      </c>
      <c r="AE4" s="109">
        <f>(RGPS_Valor_Dezembro!AB19)/1000000</f>
        <v>3054.858819</v>
      </c>
      <c r="AF4" s="109">
        <f>(RGPS_Valor_Dezembro!AC19)/1000000</f>
        <v>3361.0563520000001</v>
      </c>
      <c r="AG4" s="109">
        <f>(RGPS_Valor_Dezembro!AD19)/1000000</f>
        <v>3646.0942140000002</v>
      </c>
      <c r="AH4" s="109">
        <f>(RGPS_Valor_Dezembro!AE19)/1000000</f>
        <v>3941.2662177712</v>
      </c>
      <c r="AI4" s="109">
        <f>(RGPS_Valor_Dezembro!AF19)/1000000</f>
        <v>4254.5435663893195</v>
      </c>
      <c r="AJ4" s="109">
        <f>(RGPS_Valor_Dezembro!AG19)/1000000</f>
        <v>4672.8145756203303</v>
      </c>
      <c r="AK4" s="109">
        <f>(RGPS_Valor_Dezembro!AH19)/1000000</f>
        <v>5196.3130463697398</v>
      </c>
      <c r="AL4" s="109">
        <f>(RGPS_Valor_Dezembro!AI19)/1000000</f>
        <v>5818.1881868304099</v>
      </c>
      <c r="AM4" s="109">
        <f>(RGPS_Valor_Dezembro!AJ19)/1000000</f>
        <v>6470.5109197101701</v>
      </c>
      <c r="AN4" s="109">
        <f>(RGPS_Valor_Dezembro!AK19)/1000000</f>
        <v>7178.4617585604692</v>
      </c>
      <c r="AO4" s="109">
        <f>(RGPS_Valor_Dezembro!AL19)/1000000</f>
        <v>7971.0988887890499</v>
      </c>
      <c r="AP4" s="109">
        <f>AO4</f>
        <v>7971.0988887890499</v>
      </c>
    </row>
    <row r="5" spans="1:42">
      <c r="B5" s="106"/>
      <c r="C5" s="37" t="s">
        <v>22</v>
      </c>
      <c r="D5" s="110">
        <f>(SUM(RGPS_Valor_Dezembro!C20:C21))/1000000</f>
        <v>70.337790139988925</v>
      </c>
      <c r="E5" s="110">
        <f>(SUM(RGPS_Valor_Dezembro!D20:D21))/1000000</f>
        <v>85.790351000000001</v>
      </c>
      <c r="F5" s="110">
        <f>(SUM(RGPS_Valor_Dezembro!E20:E21))/1000000</f>
        <v>99.232085999999995</v>
      </c>
      <c r="G5" s="110">
        <f>(SUM(RGPS_Valor_Dezembro!F20:F21))/1000000</f>
        <v>129.76946599999999</v>
      </c>
      <c r="H5" s="110">
        <f>(SUM(RGPS_Valor_Dezembro!G20:G21))/1000000</f>
        <v>178.04652485999603</v>
      </c>
      <c r="I5" s="110">
        <f>(SUM(RGPS_Valor_Dezembro!H20:H21))/1000000</f>
        <v>216.02990294000259</v>
      </c>
      <c r="J5" s="110">
        <f>(SUM(RGPS_Valor_Dezembro!I20:I21))/1000000</f>
        <v>263.43978663000689</v>
      </c>
      <c r="K5" s="110">
        <f>(SUM(RGPS_Valor_Dezembro!J20:J21))/1000000</f>
        <v>339.08355183000367</v>
      </c>
      <c r="L5" s="110">
        <f>(SUM(RGPS_Valor_Dezembro!K20:K21))/1000000</f>
        <v>400.24603165999952</v>
      </c>
      <c r="M5" s="110">
        <f>(SUM(RGPS_Valor_Dezembro!L20:L21))/1000000</f>
        <v>451.06043574000063</v>
      </c>
      <c r="N5" s="110">
        <f>(SUM(RGPS_Valor_Dezembro!M20:M21))/1000000</f>
        <v>591.40080506001186</v>
      </c>
      <c r="O5" s="110">
        <f>(SUM(RGPS_Valor_Dezembro!N20:N21))/1000000</f>
        <v>696.15106649001041</v>
      </c>
      <c r="P5" s="128">
        <v>782.84986742000012</v>
      </c>
      <c r="Q5" s="111">
        <f>(SUM(RGPS_Valor_Dezembro!O20:O21))/1000000</f>
        <v>0.36950936999999917</v>
      </c>
      <c r="R5" s="112">
        <f>(SUM(RGPS_Valor_Dezembro!P20:P21))/1000000</f>
        <v>0.45595400000000003</v>
      </c>
      <c r="S5" s="112">
        <f>(SUM(RGPS_Valor_Dezembro!Q20:Q21))/1000000</f>
        <v>0.55572500000000002</v>
      </c>
      <c r="T5" s="112">
        <f>(SUM(RGPS_Valor_Dezembro!R20:R21))/1000000</f>
        <v>0.89479399999999998</v>
      </c>
      <c r="U5" s="112">
        <f>(SUM(RGPS_Valor_Dezembro!S20:S21))/1000000</f>
        <v>1.4271771499999986</v>
      </c>
      <c r="V5" s="112">
        <f>(SUM(RGPS_Valor_Dezembro!T20:T21))/1000000</f>
        <v>1.8545603100000023</v>
      </c>
      <c r="W5" s="112">
        <f>(SUM(RGPS_Valor_Dezembro!U20:U21))/1000000</f>
        <v>2.4297364599999933</v>
      </c>
      <c r="X5" s="112">
        <f>(SUM(RGPS_Valor_Dezembro!V20:V21))/1000000</f>
        <v>3.4393932699999956</v>
      </c>
      <c r="Y5" s="112">
        <f>(SUM(RGPS_Valor_Dezembro!W20:W21))/1000000</f>
        <v>4.2026240999999942</v>
      </c>
      <c r="Z5" s="112">
        <f>(SUM(RGPS_Valor_Dezembro!X20:X21))/1000000</f>
        <v>4.9052403400000033</v>
      </c>
      <c r="AA5" s="112">
        <f>(SUM(RGPS_Valor_Dezembro!Y20:Y21))/1000000</f>
        <v>6.4288066599999967</v>
      </c>
      <c r="AB5" s="112">
        <f>(SUM(RGPS_Valor_Dezembro!Z20:Z21))/1000000</f>
        <v>7.6976517500000003</v>
      </c>
      <c r="AC5" s="112">
        <v>8.9103739100000006</v>
      </c>
      <c r="AD5" s="109">
        <f>(SUM(RGPS_Valor_Dezembro!AA20:AA21))/1000000</f>
        <v>70.707299509988928</v>
      </c>
      <c r="AE5" s="109">
        <f>(SUM(RGPS_Valor_Dezembro!AB20:AB21))/1000000</f>
        <v>86.246305000000007</v>
      </c>
      <c r="AF5" s="109">
        <f>(SUM(RGPS_Valor_Dezembro!AC20:AC21))/1000000</f>
        <v>99.787811000000005</v>
      </c>
      <c r="AG5" s="109">
        <f>(SUM(RGPS_Valor_Dezembro!AD20:AD21))/1000000</f>
        <v>130.66426000000001</v>
      </c>
      <c r="AH5" s="109">
        <f>(SUM(RGPS_Valor_Dezembro!AE20:AE21))/1000000</f>
        <v>179.47370200999603</v>
      </c>
      <c r="AI5" s="109">
        <f>(SUM(RGPS_Valor_Dezembro!AF20:AF21))/1000000</f>
        <v>217.8844632500026</v>
      </c>
      <c r="AJ5" s="109">
        <f>(SUM(RGPS_Valor_Dezembro!AG20:AG21))/1000000</f>
        <v>265.86952309000691</v>
      </c>
      <c r="AK5" s="109">
        <f>(SUM(RGPS_Valor_Dezembro!AH20:AH21))/1000000</f>
        <v>342.52294510000371</v>
      </c>
      <c r="AL5" s="109">
        <f>(SUM(RGPS_Valor_Dezembro!AI20:AI21))/1000000</f>
        <v>404.4486557599995</v>
      </c>
      <c r="AM5" s="109">
        <f>(SUM(RGPS_Valor_Dezembro!AJ20:AJ21))/1000000</f>
        <v>455.96567608000061</v>
      </c>
      <c r="AN5" s="109">
        <f>(SUM(RGPS_Valor_Dezembro!AK20:AK21))/1000000</f>
        <v>597.82961172001194</v>
      </c>
      <c r="AO5" s="109">
        <f>(SUM(RGPS_Valor_Dezembro!AL20:AL21))/1000000</f>
        <v>703.84871824001038</v>
      </c>
      <c r="AP5" s="109">
        <f t="shared" ref="AP5:AP27" si="0">AO5</f>
        <v>703.84871824001038</v>
      </c>
    </row>
    <row r="6" spans="1:42">
      <c r="B6" s="106"/>
      <c r="C6" s="37" t="s">
        <v>40</v>
      </c>
      <c r="D6" s="110">
        <f>(D4-D5)</f>
        <v>2437.7242243101409</v>
      </c>
      <c r="E6" s="110">
        <f t="shared" ref="E6:AO6" si="1">(E4-E5)</f>
        <v>2965.3384350000001</v>
      </c>
      <c r="F6" s="110">
        <f t="shared" si="1"/>
        <v>3257.5122040000001</v>
      </c>
      <c r="G6" s="110">
        <f t="shared" si="1"/>
        <v>3511.1137999999996</v>
      </c>
      <c r="H6" s="110">
        <f t="shared" si="1"/>
        <v>3756.9249926312036</v>
      </c>
      <c r="I6" s="110">
        <f t="shared" si="1"/>
        <v>4031.4569120693172</v>
      </c>
      <c r="J6" s="110">
        <f t="shared" si="1"/>
        <v>4401.2372065203226</v>
      </c>
      <c r="K6" s="110">
        <f t="shared" si="1"/>
        <v>4847.5979799197357</v>
      </c>
      <c r="L6" s="110">
        <f t="shared" si="1"/>
        <v>5406.824479080411</v>
      </c>
      <c r="M6" s="110">
        <f t="shared" si="1"/>
        <v>6006.9689484101591</v>
      </c>
      <c r="N6" s="110">
        <f t="shared" si="1"/>
        <v>6572.7951447704581</v>
      </c>
      <c r="O6" s="110">
        <f t="shared" si="1"/>
        <v>7258.8275435590394</v>
      </c>
      <c r="P6" s="128">
        <f>P4-P5</f>
        <v>6954.9642304699992</v>
      </c>
      <c r="Q6" s="111">
        <f t="shared" si="1"/>
        <v>2.5796433500003211</v>
      </c>
      <c r="R6" s="112">
        <f t="shared" si="1"/>
        <v>3.274079</v>
      </c>
      <c r="S6" s="112">
        <f t="shared" si="1"/>
        <v>3.7563370000000003</v>
      </c>
      <c r="T6" s="112">
        <f t="shared" si="1"/>
        <v>4.316154</v>
      </c>
      <c r="U6" s="112">
        <f t="shared" si="1"/>
        <v>4.867523130000631</v>
      </c>
      <c r="V6" s="112">
        <f t="shared" si="1"/>
        <v>5.2021910699997171</v>
      </c>
      <c r="W6" s="112">
        <f t="shared" si="1"/>
        <v>5.7078460099992956</v>
      </c>
      <c r="X6" s="112">
        <f t="shared" si="1"/>
        <v>6.1921213499998755</v>
      </c>
      <c r="Y6" s="112">
        <f t="shared" si="1"/>
        <v>6.9150519900004053</v>
      </c>
      <c r="Z6" s="112">
        <f t="shared" si="1"/>
        <v>7.5762952200013958</v>
      </c>
      <c r="AA6" s="112">
        <f t="shared" si="1"/>
        <v>7.8370020699969016</v>
      </c>
      <c r="AB6" s="112">
        <f t="shared" si="1"/>
        <v>8.4226269900018007</v>
      </c>
      <c r="AC6" s="112">
        <f>AC4-AC5</f>
        <v>9.1312353799999997</v>
      </c>
      <c r="AD6" s="109">
        <f t="shared" si="1"/>
        <v>2440.3038676601409</v>
      </c>
      <c r="AE6" s="109">
        <f t="shared" si="1"/>
        <v>2968.6125139999999</v>
      </c>
      <c r="AF6" s="109">
        <f t="shared" si="1"/>
        <v>3261.2685409999999</v>
      </c>
      <c r="AG6" s="109">
        <f t="shared" si="1"/>
        <v>3515.4299540000002</v>
      </c>
      <c r="AH6" s="109">
        <f t="shared" si="1"/>
        <v>3761.792515761204</v>
      </c>
      <c r="AI6" s="109">
        <f t="shared" si="1"/>
        <v>4036.6591031393168</v>
      </c>
      <c r="AJ6" s="109">
        <f t="shared" si="1"/>
        <v>4406.9450525303237</v>
      </c>
      <c r="AK6" s="109">
        <f t="shared" si="1"/>
        <v>4853.7901012697357</v>
      </c>
      <c r="AL6" s="109">
        <f t="shared" si="1"/>
        <v>5413.7395310704105</v>
      </c>
      <c r="AM6" s="109">
        <f t="shared" si="1"/>
        <v>6014.5452436301694</v>
      </c>
      <c r="AN6" s="109">
        <f t="shared" si="1"/>
        <v>6580.6321468404576</v>
      </c>
      <c r="AO6" s="109">
        <f t="shared" si="1"/>
        <v>7267.2501705490395</v>
      </c>
      <c r="AP6" s="109">
        <f t="shared" si="0"/>
        <v>7267.2501705490395</v>
      </c>
    </row>
    <row r="7" spans="1:42">
      <c r="B7" s="106" t="s">
        <v>48</v>
      </c>
      <c r="C7" s="105" t="s">
        <v>3</v>
      </c>
      <c r="D7" s="110">
        <f>(RGPS_Valor_Dezembro!C34)/1000000</f>
        <v>521.21408072004897</v>
      </c>
      <c r="E7" s="110">
        <f>(RGPS_Valor_Dezembro!D34)/1000000</f>
        <v>670.182232</v>
      </c>
      <c r="F7" s="110">
        <f>(RGPS_Valor_Dezembro!E34)/1000000</f>
        <v>784.48919000000001</v>
      </c>
      <c r="G7" s="110">
        <f>(RGPS_Valor_Dezembro!F34)/1000000</f>
        <v>915.54338099999995</v>
      </c>
      <c r="H7" s="110">
        <f>(RGPS_Valor_Dezembro!G34)/1000000</f>
        <v>1059.7644537200001</v>
      </c>
      <c r="I7" s="110">
        <f>(RGPS_Valor_Dezembro!H34)/1000000</f>
        <v>1191.0262647099601</v>
      </c>
      <c r="J7" s="110">
        <f>(RGPS_Valor_Dezembro!I34)/1000000</f>
        <v>1367.6831867501701</v>
      </c>
      <c r="K7" s="110">
        <f>(RGPS_Valor_Dezembro!J34)/1000000</f>
        <v>1602.04182056993</v>
      </c>
      <c r="L7" s="110">
        <f>(RGPS_Valor_Dezembro!K34)/1000000</f>
        <v>1840.4137849896701</v>
      </c>
      <c r="M7" s="110">
        <f>(RGPS_Valor_Dezembro!L34)/1000000</f>
        <v>2078.9873801997501</v>
      </c>
      <c r="N7" s="110">
        <f>(RGPS_Valor_Dezembro!M34)/1000000</f>
        <v>2441.1561427800898</v>
      </c>
      <c r="O7" s="110">
        <f>(RGPS_Valor_Dezembro!N34)/1000000</f>
        <v>2817.1792685105802</v>
      </c>
      <c r="P7" s="128">
        <v>3194.1826534999996</v>
      </c>
      <c r="Q7" s="111">
        <f>(RGPS_Valor_Dezembro!O34)/1000000</f>
        <v>861.69337362000101</v>
      </c>
      <c r="R7" s="112">
        <f>(RGPS_Valor_Dezembro!P34)/1000000</f>
        <v>1061.8372710000001</v>
      </c>
      <c r="S7" s="112">
        <f>(RGPS_Valor_Dezembro!Q34)/1000000</f>
        <v>1180.116751</v>
      </c>
      <c r="T7" s="112">
        <f>(RGPS_Valor_Dezembro!R34)/1000000</f>
        <v>1399.4934659999999</v>
      </c>
      <c r="U7" s="112">
        <f>(RGPS_Valor_Dezembro!S34)/1000000</f>
        <v>1682.39443145</v>
      </c>
      <c r="V7" s="112">
        <f>(RGPS_Valor_Dezembro!T34)/1000000</f>
        <v>1884.9544317699999</v>
      </c>
      <c r="W7" s="112">
        <f>(RGPS_Valor_Dezembro!U34)/1000000</f>
        <v>2131.9152025100002</v>
      </c>
      <c r="X7" s="112">
        <f>(RGPS_Valor_Dezembro!V34)/1000000</f>
        <v>2477.9124836300002</v>
      </c>
      <c r="Y7" s="112">
        <f>(RGPS_Valor_Dezembro!W34)/1000000</f>
        <v>2807.1468227600099</v>
      </c>
      <c r="Z7" s="112">
        <f>(RGPS_Valor_Dezembro!X34)/1000000</f>
        <v>3085.3339051200001</v>
      </c>
      <c r="AA7" s="112">
        <f>(RGPS_Valor_Dezembro!Y34)/1000000</f>
        <v>3624.9139316399996</v>
      </c>
      <c r="AB7" s="112">
        <f>(RGPS_Valor_Dezembro!Z34)/1000000</f>
        <v>4066.9333251799999</v>
      </c>
      <c r="AC7" s="112">
        <v>4450.2265917599989</v>
      </c>
      <c r="AD7" s="109">
        <f>(RGPS_Valor_Dezembro!AA34)/1000000</f>
        <v>1382.90745434005</v>
      </c>
      <c r="AE7" s="109">
        <f>(RGPS_Valor_Dezembro!AB34)/1000000</f>
        <v>1732.019503</v>
      </c>
      <c r="AF7" s="109">
        <f>(RGPS_Valor_Dezembro!AC34)/1000000</f>
        <v>1964.605941</v>
      </c>
      <c r="AG7" s="109">
        <f>(RGPS_Valor_Dezembro!AD34)/1000000</f>
        <v>2315.0368469999999</v>
      </c>
      <c r="AH7" s="109">
        <f>(RGPS_Valor_Dezembro!AE34)/1000000</f>
        <v>2742.1588851699898</v>
      </c>
      <c r="AI7" s="109">
        <f>(RGPS_Valor_Dezembro!AF34)/1000000</f>
        <v>3075.98069647996</v>
      </c>
      <c r="AJ7" s="109">
        <f>(RGPS_Valor_Dezembro!AG34)/1000000</f>
        <v>3499.5983892601798</v>
      </c>
      <c r="AK7" s="109">
        <f>(RGPS_Valor_Dezembro!AH34)/1000000</f>
        <v>4079.95430419992</v>
      </c>
      <c r="AL7" s="109">
        <f>(RGPS_Valor_Dezembro!AI34)/1000000</f>
        <v>4647.5606077496795</v>
      </c>
      <c r="AM7" s="109">
        <f>(RGPS_Valor_Dezembro!AJ34)/1000000</f>
        <v>5164.3212853197501</v>
      </c>
      <c r="AN7" s="109">
        <f>(RGPS_Valor_Dezembro!AK34)/1000000</f>
        <v>6066.0700744200894</v>
      </c>
      <c r="AO7" s="109">
        <f>(RGPS_Valor_Dezembro!AL34)/1000000</f>
        <v>6884.1125936905701</v>
      </c>
      <c r="AP7" s="109">
        <f t="shared" si="0"/>
        <v>6884.1125936905701</v>
      </c>
    </row>
    <row r="8" spans="1:42">
      <c r="B8" s="106"/>
      <c r="C8" s="37" t="s">
        <v>22</v>
      </c>
      <c r="D8" s="110">
        <f>(SUM(RGPS_Valor_Dezembro!C35:C36))/1000000</f>
        <v>184.24620443000006</v>
      </c>
      <c r="E8" s="110">
        <f>(SUM(RGPS_Valor_Dezembro!D35:D36))/1000000</f>
        <v>234.263395</v>
      </c>
      <c r="F8" s="110">
        <f>(SUM(RGPS_Valor_Dezembro!E35:E36))/1000000</f>
        <v>286.77108600000003</v>
      </c>
      <c r="G8" s="110">
        <f>(SUM(RGPS_Valor_Dezembro!F35:F36))/1000000</f>
        <v>363.50681600000001</v>
      </c>
      <c r="H8" s="110">
        <f>(SUM(RGPS_Valor_Dezembro!G35:G36))/1000000</f>
        <v>466.90339313999988</v>
      </c>
      <c r="I8" s="110">
        <f>(SUM(RGPS_Valor_Dezembro!H35:H36))/1000000</f>
        <v>546.42502389000038</v>
      </c>
      <c r="J8" s="110">
        <f>(SUM(RGPS_Valor_Dezembro!I35:I36))/1000000</f>
        <v>642.46691265999982</v>
      </c>
      <c r="K8" s="110">
        <f>(SUM(RGPS_Valor_Dezembro!J35:J36))/1000000</f>
        <v>788.09790772999952</v>
      </c>
      <c r="L8" s="110">
        <f>(SUM(RGPS_Valor_Dezembro!K35:K36))/1000000</f>
        <v>911.87142895000079</v>
      </c>
      <c r="M8" s="110">
        <f>(SUM(RGPS_Valor_Dezembro!L35:L36))/1000000</f>
        <v>1021.3203080300007</v>
      </c>
      <c r="N8" s="110">
        <f>(SUM(RGPS_Valor_Dezembro!M35:M36))/1000000</f>
        <v>1278.7940753299999</v>
      </c>
      <c r="O8" s="110">
        <f>(SUM(RGPS_Valor_Dezembro!N35:N36))/1000000</f>
        <v>1496.5015319200002</v>
      </c>
      <c r="P8" s="128">
        <v>1696.12075454</v>
      </c>
      <c r="Q8" s="111">
        <f>(SUM(RGPS_Valor_Dezembro!O35:O36))/1000000</f>
        <v>852.57778877999999</v>
      </c>
      <c r="R8" s="112">
        <f>(SUM(RGPS_Valor_Dezembro!P35:P36))/1000000</f>
        <v>1050.4344599999999</v>
      </c>
      <c r="S8" s="112">
        <f>(SUM(RGPS_Valor_Dezembro!Q35:Q36))/1000000</f>
        <v>1168.5653279999999</v>
      </c>
      <c r="T8" s="112">
        <f>(SUM(RGPS_Valor_Dezembro!R35:R36))/1000000</f>
        <v>1387.332013</v>
      </c>
      <c r="U8" s="112">
        <f>(SUM(RGPS_Valor_Dezembro!S35:S36))/1000000</f>
        <v>1670.0618298000002</v>
      </c>
      <c r="V8" s="112">
        <f>(SUM(RGPS_Valor_Dezembro!T35:T36))/1000000</f>
        <v>1872.0597271300001</v>
      </c>
      <c r="W8" s="112">
        <f>(SUM(RGPS_Valor_Dezembro!U35:U36))/1000000</f>
        <v>2118.1669634999998</v>
      </c>
      <c r="X8" s="112">
        <f>(SUM(RGPS_Valor_Dezembro!V35:V36))/1000000</f>
        <v>2463.3688741700003</v>
      </c>
      <c r="Y8" s="112">
        <f>(SUM(RGPS_Valor_Dezembro!W35:W36))/1000000</f>
        <v>2790.8626171299998</v>
      </c>
      <c r="Z8" s="112">
        <f>(SUM(RGPS_Valor_Dezembro!X35:X36))/1000000</f>
        <v>3067.2273201599996</v>
      </c>
      <c r="AA8" s="112">
        <f>(SUM(RGPS_Valor_Dezembro!Y35:Y36))/1000000</f>
        <v>3605.9188769499997</v>
      </c>
      <c r="AB8" s="112">
        <f>(SUM(RGPS_Valor_Dezembro!Z35:Z36))/1000000</f>
        <v>4046.1033803199998</v>
      </c>
      <c r="AC8" s="112">
        <v>4426.8893885199996</v>
      </c>
      <c r="AD8" s="109">
        <f>(SUM(RGPS_Valor_Dezembro!AA35:AA36))/1000000</f>
        <v>1036.82399321</v>
      </c>
      <c r="AE8" s="109">
        <f>(SUM(RGPS_Valor_Dezembro!AB35:AB36))/1000000</f>
        <v>1284.6978549999999</v>
      </c>
      <c r="AF8" s="109">
        <f>(SUM(RGPS_Valor_Dezembro!AC35:AC36))/1000000</f>
        <v>1455.3364140000001</v>
      </c>
      <c r="AG8" s="109">
        <f>(SUM(RGPS_Valor_Dezembro!AD35:AD36))/1000000</f>
        <v>1750.838829</v>
      </c>
      <c r="AH8" s="109">
        <f>(SUM(RGPS_Valor_Dezembro!AE35:AE36))/1000000</f>
        <v>2136.9652229399999</v>
      </c>
      <c r="AI8" s="109">
        <f>(SUM(RGPS_Valor_Dezembro!AF35:AF36))/1000000</f>
        <v>2418.4847510200007</v>
      </c>
      <c r="AJ8" s="109">
        <f>(SUM(RGPS_Valor_Dezembro!AG35:AG36))/1000000</f>
        <v>2760.63387616</v>
      </c>
      <c r="AK8" s="109">
        <f>(SUM(RGPS_Valor_Dezembro!AH35:AH36))/1000000</f>
        <v>3251.4667818999997</v>
      </c>
      <c r="AL8" s="109">
        <f>(SUM(RGPS_Valor_Dezembro!AI35:AI36))/1000000</f>
        <v>3702.7340460800006</v>
      </c>
      <c r="AM8" s="109">
        <f>(SUM(RGPS_Valor_Dezembro!AJ35:AJ36))/1000000</f>
        <v>4088.5476281900005</v>
      </c>
      <c r="AN8" s="109">
        <f>(SUM(RGPS_Valor_Dezembro!AK35:AK36))/1000000</f>
        <v>4884.7129522799996</v>
      </c>
      <c r="AO8" s="109">
        <f>(SUM(RGPS_Valor_Dezembro!AL35:AL36))/1000000</f>
        <v>5542.60491224</v>
      </c>
      <c r="AP8" s="109">
        <f t="shared" si="0"/>
        <v>5542.60491224</v>
      </c>
    </row>
    <row r="9" spans="1:42">
      <c r="B9" s="106"/>
      <c r="C9" s="37" t="s">
        <v>40</v>
      </c>
      <c r="D9" s="110">
        <f>(D7-D8)</f>
        <v>336.96787629004893</v>
      </c>
      <c r="E9" s="110">
        <f t="shared" ref="E9:AO9" si="2">(E7-E8)</f>
        <v>435.918837</v>
      </c>
      <c r="F9" s="110">
        <f t="shared" si="2"/>
        <v>497.71810399999998</v>
      </c>
      <c r="G9" s="110">
        <f t="shared" si="2"/>
        <v>552.03656499999988</v>
      </c>
      <c r="H9" s="110">
        <f t="shared" si="2"/>
        <v>592.86106058000018</v>
      </c>
      <c r="I9" s="110">
        <f t="shared" si="2"/>
        <v>644.60124081995968</v>
      </c>
      <c r="J9" s="110">
        <f t="shared" si="2"/>
        <v>725.21627409017026</v>
      </c>
      <c r="K9" s="110">
        <f t="shared" si="2"/>
        <v>813.94391283993048</v>
      </c>
      <c r="L9" s="110">
        <f t="shared" si="2"/>
        <v>928.54235603966936</v>
      </c>
      <c r="M9" s="110">
        <f t="shared" si="2"/>
        <v>1057.6670721697494</v>
      </c>
      <c r="N9" s="110">
        <f t="shared" si="2"/>
        <v>1162.3620674500899</v>
      </c>
      <c r="O9" s="110">
        <f t="shared" si="2"/>
        <v>1320.67773659058</v>
      </c>
      <c r="P9" s="128">
        <f>P7-P8</f>
        <v>1498.0618989599996</v>
      </c>
      <c r="Q9" s="111">
        <f t="shared" si="2"/>
        <v>9.11558484000102</v>
      </c>
      <c r="R9" s="112">
        <f t="shared" si="2"/>
        <v>11.402811000000156</v>
      </c>
      <c r="S9" s="112">
        <f t="shared" si="2"/>
        <v>11.551423000000113</v>
      </c>
      <c r="T9" s="112">
        <f t="shared" si="2"/>
        <v>12.161452999999938</v>
      </c>
      <c r="U9" s="112">
        <f t="shared" si="2"/>
        <v>12.332601649999788</v>
      </c>
      <c r="V9" s="112">
        <f t="shared" si="2"/>
        <v>12.894704639999873</v>
      </c>
      <c r="W9" s="112">
        <f t="shared" si="2"/>
        <v>13.748239010000361</v>
      </c>
      <c r="X9" s="112">
        <f t="shared" si="2"/>
        <v>14.543609459999971</v>
      </c>
      <c r="Y9" s="112">
        <f t="shared" si="2"/>
        <v>16.284205630010092</v>
      </c>
      <c r="Z9" s="112">
        <f t="shared" si="2"/>
        <v>18.106584960000419</v>
      </c>
      <c r="AA9" s="112">
        <f t="shared" si="2"/>
        <v>18.995054689999961</v>
      </c>
      <c r="AB9" s="112">
        <f t="shared" si="2"/>
        <v>20.829944860000069</v>
      </c>
      <c r="AC9" s="112">
        <f>AC7-AC8</f>
        <v>23.337203239999326</v>
      </c>
      <c r="AD9" s="109">
        <f t="shared" si="2"/>
        <v>346.08346113004995</v>
      </c>
      <c r="AE9" s="109">
        <f t="shared" si="2"/>
        <v>447.3216480000001</v>
      </c>
      <c r="AF9" s="109">
        <f t="shared" si="2"/>
        <v>509.26952699999993</v>
      </c>
      <c r="AG9" s="109">
        <f t="shared" si="2"/>
        <v>564.19801799999982</v>
      </c>
      <c r="AH9" s="109">
        <f t="shared" si="2"/>
        <v>605.19366222998997</v>
      </c>
      <c r="AI9" s="109">
        <f t="shared" si="2"/>
        <v>657.49594545995933</v>
      </c>
      <c r="AJ9" s="109">
        <f t="shared" si="2"/>
        <v>738.96451310017983</v>
      </c>
      <c r="AK9" s="109">
        <f t="shared" si="2"/>
        <v>828.48752229992033</v>
      </c>
      <c r="AL9" s="109">
        <f t="shared" si="2"/>
        <v>944.82656166967899</v>
      </c>
      <c r="AM9" s="109">
        <f t="shared" si="2"/>
        <v>1075.7736571297496</v>
      </c>
      <c r="AN9" s="109">
        <f t="shared" si="2"/>
        <v>1181.3571221400898</v>
      </c>
      <c r="AO9" s="109">
        <f t="shared" si="2"/>
        <v>1341.5076814505701</v>
      </c>
      <c r="AP9" s="109">
        <f t="shared" si="0"/>
        <v>1341.5076814505701</v>
      </c>
    </row>
    <row r="10" spans="1:42">
      <c r="B10" s="106" t="s">
        <v>23</v>
      </c>
      <c r="C10" s="105" t="s">
        <v>3</v>
      </c>
      <c r="D10" s="110">
        <f>(SUM(RGPS_Valor_Dezembro!C48,RGPS_Valor_Dezembro!C135))/1000000</f>
        <v>637.51127863998454</v>
      </c>
      <c r="E10" s="110">
        <f>(SUM(RGPS_Valor_Dezembro!D48,RGPS_Valor_Dezembro!D135))/1000000</f>
        <v>827.01579000000004</v>
      </c>
      <c r="F10" s="110">
        <f>(SUM(RGPS_Valor_Dezembro!E48,RGPS_Valor_Dezembro!E135))/1000000</f>
        <v>976.11663199999998</v>
      </c>
      <c r="G10" s="110">
        <f>(SUM(RGPS_Valor_Dezembro!F48,RGPS_Valor_Dezembro!F135))/1000000</f>
        <v>1194.5526299999999</v>
      </c>
      <c r="H10" s="110">
        <f>(SUM(RGPS_Valor_Dezembro!G48,RGPS_Valor_Dezembro!G135))/1000000</f>
        <v>1376.4364349101099</v>
      </c>
      <c r="I10" s="110">
        <f>(SUM(RGPS_Valor_Dezembro!H48,RGPS_Valor_Dezembro!H135))/1000000</f>
        <v>1487.9464365700501</v>
      </c>
      <c r="J10" s="110">
        <f>(SUM(RGPS_Valor_Dezembro!I48,RGPS_Valor_Dezembro!I135))/1000000</f>
        <v>1678.7046591198109</v>
      </c>
      <c r="K10" s="110">
        <f>(SUM(RGPS_Valor_Dezembro!J48,RGPS_Valor_Dezembro!J135))/1000000</f>
        <v>1899.9860110499858</v>
      </c>
      <c r="L10" s="110">
        <f>(SUM(RGPS_Valor_Dezembro!K48,RGPS_Valor_Dezembro!K135))/1000000</f>
        <v>2139.4285626599772</v>
      </c>
      <c r="M10" s="110">
        <f>(SUM(RGPS_Valor_Dezembro!L48,RGPS_Valor_Dezembro!L135))/1000000</f>
        <v>2364.9251136201897</v>
      </c>
      <c r="N10" s="110">
        <f>(SUM(RGPS_Valor_Dezembro!M48,RGPS_Valor_Dezembro!M135))/1000000</f>
        <v>2662.0814189698408</v>
      </c>
      <c r="O10" s="110">
        <f>(SUM(RGPS_Valor_Dezembro!N48,RGPS_Valor_Dezembro!N135))/1000000</f>
        <v>2974.7086917000083</v>
      </c>
      <c r="P10" s="128">
        <v>3237.5482574300013</v>
      </c>
      <c r="Q10" s="111">
        <f>(SUM(RGPS_Valor_Dezembro!O48,RGPS_Valor_Dezembro!O135))/1000000</f>
        <v>87.372489460001205</v>
      </c>
      <c r="R10" s="112">
        <f>(SUM(RGPS_Valor_Dezembro!P48,RGPS_Valor_Dezembro!P135))/1000000</f>
        <v>106.583549</v>
      </c>
      <c r="S10" s="112">
        <f>(SUM(RGPS_Valor_Dezembro!Q48,RGPS_Valor_Dezembro!Q135))/1000000</f>
        <v>116.780547</v>
      </c>
      <c r="T10" s="112">
        <f>(SUM(RGPS_Valor_Dezembro!R48,RGPS_Valor_Dezembro!R135))/1000000</f>
        <v>137.91932700000001</v>
      </c>
      <c r="U10" s="112">
        <f>(SUM(RGPS_Valor_Dezembro!S48,RGPS_Valor_Dezembro!S135))/1000000</f>
        <v>159.82319600000096</v>
      </c>
      <c r="V10" s="112">
        <f>(SUM(RGPS_Valor_Dezembro!T48,RGPS_Valor_Dezembro!T135))/1000000</f>
        <v>170.07292247000206</v>
      </c>
      <c r="W10" s="112">
        <f>(SUM(RGPS_Valor_Dezembro!U48,RGPS_Valor_Dezembro!U135))/1000000</f>
        <v>185.79609016000063</v>
      </c>
      <c r="X10" s="112">
        <f>(SUM(RGPS_Valor_Dezembro!V48,RGPS_Valor_Dezembro!V135))/1000000</f>
        <v>207.94104229000109</v>
      </c>
      <c r="Y10" s="112">
        <f>(SUM(RGPS_Valor_Dezembro!W48,RGPS_Valor_Dezembro!W135))/1000000</f>
        <v>229.18225951999673</v>
      </c>
      <c r="Z10" s="112">
        <f>(SUM(RGPS_Valor_Dezembro!X48,RGPS_Valor_Dezembro!X135))/1000000</f>
        <v>246.25189606999672</v>
      </c>
      <c r="AA10" s="112">
        <f>(SUM(RGPS_Valor_Dezembro!Y48,RGPS_Valor_Dezembro!Y135))/1000000</f>
        <v>282.65540882000198</v>
      </c>
      <c r="AB10" s="112">
        <f>(SUM(RGPS_Valor_Dezembro!Z48,RGPS_Valor_Dezembro!Z135))/1000000</f>
        <v>311.78333185000048</v>
      </c>
      <c r="AC10" s="112">
        <v>338.11447224999989</v>
      </c>
      <c r="AD10" s="109">
        <f>(SUM(RGPS_Valor_Dezembro!AA48,RGPS_Valor_Dezembro!AA135))/1000000</f>
        <v>724.88376809998545</v>
      </c>
      <c r="AE10" s="109">
        <f>(SUM(RGPS_Valor_Dezembro!AB48,RGPS_Valor_Dezembro!AB135))/1000000</f>
        <v>933.59933899999999</v>
      </c>
      <c r="AF10" s="109">
        <f>(SUM(RGPS_Valor_Dezembro!AC48,RGPS_Valor_Dezembro!AC135))/1000000</f>
        <v>1092.8971790000001</v>
      </c>
      <c r="AG10" s="109">
        <f>(SUM(RGPS_Valor_Dezembro!AD48,RGPS_Valor_Dezembro!AD135))/1000000</f>
        <v>1332.471957</v>
      </c>
      <c r="AH10" s="109">
        <f>(SUM(RGPS_Valor_Dezembro!AE48,RGPS_Valor_Dezembro!AE135))/1000000</f>
        <v>1536.25963091011</v>
      </c>
      <c r="AI10" s="109">
        <f>(SUM(RGPS_Valor_Dezembro!AF48,RGPS_Valor_Dezembro!AF135))/1000000</f>
        <v>1658.01935904006</v>
      </c>
      <c r="AJ10" s="109">
        <f>(SUM(RGPS_Valor_Dezembro!AG48,RGPS_Valor_Dezembro!AG135))/1000000</f>
        <v>1864.50074927981</v>
      </c>
      <c r="AK10" s="109">
        <f>(SUM(RGPS_Valor_Dezembro!AH48,RGPS_Valor_Dezembro!AH135))/1000000</f>
        <v>2107.9270533399963</v>
      </c>
      <c r="AL10" s="109">
        <f>(SUM(RGPS_Valor_Dezembro!AI48,RGPS_Valor_Dezembro!AI135))/1000000</f>
        <v>2368.6108221799659</v>
      </c>
      <c r="AM10" s="109">
        <f>(SUM(RGPS_Valor_Dezembro!AJ48,RGPS_Valor_Dezembro!AJ135))/1000000</f>
        <v>2611.1770096901887</v>
      </c>
      <c r="AN10" s="109">
        <f>(SUM(RGPS_Valor_Dezembro!AK48,RGPS_Valor_Dezembro!AK135))/1000000</f>
        <v>2944.7368277898513</v>
      </c>
      <c r="AO10" s="109">
        <f>(SUM(RGPS_Valor_Dezembro!AL48,RGPS_Valor_Dezembro!AL135))/1000000</f>
        <v>3286.4920235500176</v>
      </c>
      <c r="AP10" s="109">
        <f t="shared" si="0"/>
        <v>3286.4920235500176</v>
      </c>
    </row>
    <row r="11" spans="1:42">
      <c r="B11" s="106"/>
      <c r="C11" s="37" t="s">
        <v>22</v>
      </c>
      <c r="D11" s="110">
        <f>(SUM(RGPS_Valor_Dezembro!C49:C50,RGPS_Valor_Dezembro!C136:C137))/1000000</f>
        <v>259.11518167999981</v>
      </c>
      <c r="E11" s="110">
        <f>(SUM(RGPS_Valor_Dezembro!D49:D50,RGPS_Valor_Dezembro!D136:D137))/1000000</f>
        <v>303.31803200000002</v>
      </c>
      <c r="F11" s="110">
        <f>(SUM(RGPS_Valor_Dezembro!E49:E50,RGPS_Valor_Dezembro!E136:E137))/1000000</f>
        <v>331.42474299999998</v>
      </c>
      <c r="G11" s="110">
        <f>(SUM(RGPS_Valor_Dezembro!F49:F50,RGPS_Valor_Dezembro!F136:F137))/1000000</f>
        <v>406.18817899999999</v>
      </c>
      <c r="H11" s="110">
        <f>(SUM(RGPS_Valor_Dezembro!G49:G50,RGPS_Valor_Dezembro!G136:G137))/1000000</f>
        <v>495.89065458000096</v>
      </c>
      <c r="I11" s="110">
        <f>(SUM(RGPS_Valor_Dezembro!H49:H50,RGPS_Valor_Dezembro!H136:H137))/1000000</f>
        <v>549.29405714000063</v>
      </c>
      <c r="J11" s="110">
        <f>(SUM(RGPS_Valor_Dezembro!I49:I50,RGPS_Valor_Dezembro!I136:I137))/1000000</f>
        <v>610.81882234000375</v>
      </c>
      <c r="K11" s="110">
        <f>(SUM(RGPS_Valor_Dezembro!J49:J50,RGPS_Valor_Dezembro!J136:J137))/1000000</f>
        <v>701.73122266999701</v>
      </c>
      <c r="L11" s="110">
        <f>(SUM(RGPS_Valor_Dezembro!K49:K50,RGPS_Valor_Dezembro!K136:K137))/1000000</f>
        <v>764.69146252999803</v>
      </c>
      <c r="M11" s="110">
        <f>(SUM(RGPS_Valor_Dezembro!L49:L50,RGPS_Valor_Dezembro!L136:L137))/1000000</f>
        <v>811.98455752999178</v>
      </c>
      <c r="N11" s="110">
        <f>(SUM(RGPS_Valor_Dezembro!M49:M50,RGPS_Valor_Dezembro!M136:M137))/1000000</f>
        <v>974.60960999000099</v>
      </c>
      <c r="O11" s="110">
        <f>(SUM(RGPS_Valor_Dezembro!N49:N50,RGPS_Valor_Dezembro!N136:N137))/1000000</f>
        <v>1060.4939353899949</v>
      </c>
      <c r="P11" s="128">
        <v>1136.4366624100001</v>
      </c>
      <c r="Q11" s="111">
        <f>(SUM(RGPS_Valor_Dezembro!O49:O50,RGPS_Valor_Dezembro!O136:O137))/1000000</f>
        <v>81.109973739999987</v>
      </c>
      <c r="R11" s="112">
        <f>(SUM(RGPS_Valor_Dezembro!P49:P50,RGPS_Valor_Dezembro!P136:P137))/1000000</f>
        <v>97.790559999999999</v>
      </c>
      <c r="S11" s="112">
        <f>(SUM(RGPS_Valor_Dezembro!Q49:Q50,RGPS_Valor_Dezembro!Q136:Q137))/1000000</f>
        <v>107.02420600000001</v>
      </c>
      <c r="T11" s="112">
        <f>(SUM(RGPS_Valor_Dezembro!R49:R50,RGPS_Valor_Dezembro!R136:R137))/1000000</f>
        <v>127.712875</v>
      </c>
      <c r="U11" s="112">
        <f>(SUM(RGPS_Valor_Dezembro!S49:S50,RGPS_Valor_Dezembro!S136:S137))/1000000</f>
        <v>150.25443008000002</v>
      </c>
      <c r="V11" s="112">
        <f>(SUM(RGPS_Valor_Dezembro!T49:T50,RGPS_Valor_Dezembro!T136:T137))/1000000</f>
        <v>160.87083505000004</v>
      </c>
      <c r="W11" s="112">
        <f>(SUM(RGPS_Valor_Dezembro!U49:U50,RGPS_Valor_Dezembro!U136:U137))/1000000</f>
        <v>176.72910970999999</v>
      </c>
      <c r="X11" s="112">
        <f>(SUM(RGPS_Valor_Dezembro!V49:V50,RGPS_Valor_Dezembro!V136:V137))/1000000</f>
        <v>199.12159785999998</v>
      </c>
      <c r="Y11" s="112">
        <f>(SUM(RGPS_Valor_Dezembro!W49:W50,RGPS_Valor_Dezembro!W136:W137))/1000000</f>
        <v>219.96849431999993</v>
      </c>
      <c r="Z11" s="112">
        <f>(SUM(RGPS_Valor_Dezembro!X49:X50,RGPS_Valor_Dezembro!X136:X137))/1000000</f>
        <v>236.62603250999993</v>
      </c>
      <c r="AA11" s="112">
        <f>(SUM(RGPS_Valor_Dezembro!Y49:Y50,RGPS_Valor_Dezembro!Y136:Y137))/1000000</f>
        <v>273.49701965999986</v>
      </c>
      <c r="AB11" s="112">
        <f>(SUM(RGPS_Valor_Dezembro!Z49:Z50,RGPS_Valor_Dezembro!Z136:Z137))/1000000</f>
        <v>302.32205791999985</v>
      </c>
      <c r="AC11" s="112">
        <v>328.39602520999989</v>
      </c>
      <c r="AD11" s="109">
        <f>(SUM(RGPS_Valor_Dezembro!AA49:AA50,RGPS_Valor_Dezembro!AA136:AA137))/1000000</f>
        <v>340.22515541999985</v>
      </c>
      <c r="AE11" s="109">
        <f>(SUM(RGPS_Valor_Dezembro!AB49:AB50,RGPS_Valor_Dezembro!AB136:AB137))/1000000</f>
        <v>401.10859199999999</v>
      </c>
      <c r="AF11" s="109">
        <f>(SUM(RGPS_Valor_Dezembro!AC49:AC50,RGPS_Valor_Dezembro!AC136:AC137))/1000000</f>
        <v>438.44894900000003</v>
      </c>
      <c r="AG11" s="109">
        <f>(SUM(RGPS_Valor_Dezembro!AD49:AD50,RGPS_Valor_Dezembro!AD136:AD137))/1000000</f>
        <v>533.90105400000004</v>
      </c>
      <c r="AH11" s="109">
        <f>(SUM(RGPS_Valor_Dezembro!AE49:AE50,RGPS_Valor_Dezembro!AE136:AE137))/1000000</f>
        <v>646.14508466000109</v>
      </c>
      <c r="AI11" s="109">
        <f>(SUM(RGPS_Valor_Dezembro!AF49:AF50,RGPS_Valor_Dezembro!AF136:AF137))/1000000</f>
        <v>710.16489219000061</v>
      </c>
      <c r="AJ11" s="109">
        <f>(SUM(RGPS_Valor_Dezembro!AG49:AG50,RGPS_Valor_Dezembro!AG136:AG137))/1000000</f>
        <v>787.54793205000374</v>
      </c>
      <c r="AK11" s="109">
        <f>(SUM(RGPS_Valor_Dezembro!AH49:AH50,RGPS_Valor_Dezembro!AH136:AH137))/1000000</f>
        <v>900.85282052999696</v>
      </c>
      <c r="AL11" s="109">
        <f>(SUM(RGPS_Valor_Dezembro!AI49:AI50,RGPS_Valor_Dezembro!AI136:AI137))/1000000</f>
        <v>984.65995684999803</v>
      </c>
      <c r="AM11" s="109">
        <f>(SUM(RGPS_Valor_Dezembro!AJ49:AJ50,RGPS_Valor_Dezembro!AJ136:AJ137))/1000000</f>
        <v>1048.6105900399916</v>
      </c>
      <c r="AN11" s="109">
        <f>(SUM(RGPS_Valor_Dezembro!AK49:AK50,RGPS_Valor_Dezembro!AK136:AK137))/1000000</f>
        <v>1248.1066296500007</v>
      </c>
      <c r="AO11" s="109">
        <f>(SUM(RGPS_Valor_Dezembro!AL49:AL50,RGPS_Valor_Dezembro!AL136:AL137))/1000000</f>
        <v>1362.8159933099948</v>
      </c>
      <c r="AP11" s="109">
        <f t="shared" si="0"/>
        <v>1362.8159933099948</v>
      </c>
    </row>
    <row r="12" spans="1:42">
      <c r="B12" s="106"/>
      <c r="C12" s="37" t="s">
        <v>40</v>
      </c>
      <c r="D12" s="110">
        <f>(D10-D11)</f>
        <v>378.39609695998473</v>
      </c>
      <c r="E12" s="110">
        <f t="shared" ref="E12:AO12" si="3">(E10-E11)</f>
        <v>523.69775800000002</v>
      </c>
      <c r="F12" s="110">
        <f t="shared" si="3"/>
        <v>644.69188899999995</v>
      </c>
      <c r="G12" s="110">
        <f t="shared" si="3"/>
        <v>788.36445099999992</v>
      </c>
      <c r="H12" s="110">
        <f t="shared" si="3"/>
        <v>880.54578033010898</v>
      </c>
      <c r="I12" s="110">
        <f t="shared" si="3"/>
        <v>938.65237943004945</v>
      </c>
      <c r="J12" s="110">
        <f t="shared" si="3"/>
        <v>1067.8858367798071</v>
      </c>
      <c r="K12" s="110">
        <f t="shared" si="3"/>
        <v>1198.2547883799889</v>
      </c>
      <c r="L12" s="110">
        <f t="shared" si="3"/>
        <v>1374.7371001299791</v>
      </c>
      <c r="M12" s="110">
        <f t="shared" si="3"/>
        <v>1552.9405560901978</v>
      </c>
      <c r="N12" s="110">
        <f t="shared" si="3"/>
        <v>1687.4718089798398</v>
      </c>
      <c r="O12" s="110">
        <f t="shared" si="3"/>
        <v>1914.2147563100134</v>
      </c>
      <c r="P12" s="128">
        <f>P10-P11</f>
        <v>2101.111595020001</v>
      </c>
      <c r="Q12" s="111">
        <f t="shared" si="3"/>
        <v>6.2625157200012183</v>
      </c>
      <c r="R12" s="112">
        <f t="shared" si="3"/>
        <v>8.7929890000000057</v>
      </c>
      <c r="S12" s="112">
        <f t="shared" si="3"/>
        <v>9.7563409999999919</v>
      </c>
      <c r="T12" s="112">
        <f t="shared" si="3"/>
        <v>10.206452000000013</v>
      </c>
      <c r="U12" s="112">
        <f t="shared" si="3"/>
        <v>9.5687659200009421</v>
      </c>
      <c r="V12" s="112">
        <f t="shared" si="3"/>
        <v>9.202087420002016</v>
      </c>
      <c r="W12" s="112">
        <f t="shared" si="3"/>
        <v>9.0669804500006421</v>
      </c>
      <c r="X12" s="112">
        <f t="shared" si="3"/>
        <v>8.8194444300011128</v>
      </c>
      <c r="Y12" s="112">
        <f t="shared" si="3"/>
        <v>9.2137651999968</v>
      </c>
      <c r="Z12" s="112">
        <f t="shared" si="3"/>
        <v>9.6258635599967874</v>
      </c>
      <c r="AA12" s="112">
        <f t="shared" si="3"/>
        <v>9.1583891600021161</v>
      </c>
      <c r="AB12" s="112">
        <f t="shared" si="3"/>
        <v>9.4612739300006297</v>
      </c>
      <c r="AC12" s="112">
        <f>AC10-AC11</f>
        <v>9.7184470400000009</v>
      </c>
      <c r="AD12" s="109">
        <f t="shared" si="3"/>
        <v>384.65861267998559</v>
      </c>
      <c r="AE12" s="109">
        <f t="shared" si="3"/>
        <v>532.49074700000006</v>
      </c>
      <c r="AF12" s="109">
        <f t="shared" si="3"/>
        <v>654.44822999999997</v>
      </c>
      <c r="AG12" s="109">
        <f t="shared" si="3"/>
        <v>798.57090299999993</v>
      </c>
      <c r="AH12" s="109">
        <f t="shared" si="3"/>
        <v>890.1145462501089</v>
      </c>
      <c r="AI12" s="109">
        <f t="shared" si="3"/>
        <v>947.85446685005934</v>
      </c>
      <c r="AJ12" s="109">
        <f t="shared" si="3"/>
        <v>1076.9528172298062</v>
      </c>
      <c r="AK12" s="109">
        <f t="shared" si="3"/>
        <v>1207.0742328099993</v>
      </c>
      <c r="AL12" s="109">
        <f t="shared" si="3"/>
        <v>1383.9508653299679</v>
      </c>
      <c r="AM12" s="109">
        <f t="shared" si="3"/>
        <v>1562.5664196501971</v>
      </c>
      <c r="AN12" s="109">
        <f t="shared" si="3"/>
        <v>1696.6301981398506</v>
      </c>
      <c r="AO12" s="109">
        <f t="shared" si="3"/>
        <v>1923.6760302400228</v>
      </c>
      <c r="AP12" s="109">
        <f t="shared" si="0"/>
        <v>1923.6760302400228</v>
      </c>
    </row>
    <row r="13" spans="1:42">
      <c r="B13" s="106" t="s">
        <v>24</v>
      </c>
      <c r="C13" s="105" t="s">
        <v>3</v>
      </c>
      <c r="D13" s="110">
        <f>(SUM(RGPS_Valor_Dezembro!C149,RGPS_Valor_Dezembro!C62))/1000000</f>
        <v>1333.3792946596391</v>
      </c>
      <c r="E13" s="110">
        <f>(SUM(RGPS_Valor_Dezembro!D149,RGPS_Valor_Dezembro!D62))/1000000</f>
        <v>1651.0843809999999</v>
      </c>
      <c r="F13" s="110">
        <f>(SUM(RGPS_Valor_Dezembro!E149,RGPS_Valor_Dezembro!E62))/1000000</f>
        <v>1874.8804929999999</v>
      </c>
      <c r="G13" s="110">
        <f>(SUM(RGPS_Valor_Dezembro!F149,RGPS_Valor_Dezembro!F62))/1000000</f>
        <v>2116.9493619999998</v>
      </c>
      <c r="H13" s="110">
        <f>(SUM(RGPS_Valor_Dezembro!G149,RGPS_Valor_Dezembro!G62))/1000000</f>
        <v>2398.0823347102555</v>
      </c>
      <c r="I13" s="110">
        <f>(SUM(RGPS_Valor_Dezembro!H149,RGPS_Valor_Dezembro!H62))/1000000</f>
        <v>2633.8128964007401</v>
      </c>
      <c r="J13" s="110">
        <f>(SUM(RGPS_Valor_Dezembro!I149,RGPS_Valor_Dezembro!I62))/1000000</f>
        <v>2926.2930752403176</v>
      </c>
      <c r="K13" s="110">
        <f>(SUM(RGPS_Valor_Dezembro!J149,RGPS_Valor_Dezembro!J62))/1000000</f>
        <v>3299.2021517701837</v>
      </c>
      <c r="L13" s="110">
        <f>(SUM(RGPS_Valor_Dezembro!K149,RGPS_Valor_Dezembro!K62))/1000000</f>
        <v>3720.1884525794776</v>
      </c>
      <c r="M13" s="110">
        <f>(SUM(RGPS_Valor_Dezembro!L149,RGPS_Valor_Dezembro!L62))/1000000</f>
        <v>4120.090383600028</v>
      </c>
      <c r="N13" s="110">
        <f>(SUM(RGPS_Valor_Dezembro!M149,RGPS_Valor_Dezembro!M62))/1000000</f>
        <v>4648.8138917995093</v>
      </c>
      <c r="O13" s="110">
        <f>(SUM(RGPS_Valor_Dezembro!N149,RGPS_Valor_Dezembro!N62))/1000000</f>
        <v>5193.251260748757</v>
      </c>
      <c r="P13" s="128">
        <v>5680.6137939899991</v>
      </c>
      <c r="Q13" s="111">
        <f>(SUM(RGPS_Valor_Dezembro!O149,RGPS_Valor_Dezembro!O62))/1000000</f>
        <v>343.05753719999689</v>
      </c>
      <c r="R13" s="112">
        <f>(SUM(RGPS_Valor_Dezembro!P149,RGPS_Valor_Dezembro!P62))/1000000</f>
        <v>422.87518999999998</v>
      </c>
      <c r="S13" s="112">
        <f>(SUM(RGPS_Valor_Dezembro!Q149,RGPS_Valor_Dezembro!Q62))/1000000</f>
        <v>470.65066300000001</v>
      </c>
      <c r="T13" s="112">
        <f>(SUM(RGPS_Valor_Dezembro!R149,RGPS_Valor_Dezembro!R62))/1000000</f>
        <v>556.03733699999998</v>
      </c>
      <c r="U13" s="112">
        <f>(SUM(RGPS_Valor_Dezembro!S149,RGPS_Valor_Dezembro!S62))/1000000</f>
        <v>662.79858919999981</v>
      </c>
      <c r="V13" s="112">
        <f>(SUM(RGPS_Valor_Dezembro!T149,RGPS_Valor_Dezembro!T62))/1000000</f>
        <v>739.07787463999171</v>
      </c>
      <c r="W13" s="112">
        <f>(SUM(RGPS_Valor_Dezembro!U149,RGPS_Valor_Dezembro!U62))/1000000</f>
        <v>830.89940378999597</v>
      </c>
      <c r="X13" s="112">
        <f>(SUM(RGPS_Valor_Dezembro!V149,RGPS_Valor_Dezembro!V62))/1000000</f>
        <v>955.71718169998883</v>
      </c>
      <c r="Y13" s="112">
        <f>(SUM(RGPS_Valor_Dezembro!W149,RGPS_Valor_Dezembro!W62))/1000000</f>
        <v>1073.96917448</v>
      </c>
      <c r="Z13" s="112">
        <f>(SUM(RGPS_Valor_Dezembro!X149,RGPS_Valor_Dezembro!X62))/1000000</f>
        <v>1173.9440196299897</v>
      </c>
      <c r="AA13" s="112">
        <f>(SUM(RGPS_Valor_Dezembro!Y149,RGPS_Valor_Dezembro!Y62))/1000000</f>
        <v>1369.79275594001</v>
      </c>
      <c r="AB13" s="112">
        <f>(SUM(RGPS_Valor_Dezembro!Z149,RGPS_Valor_Dezembro!Z62))/1000000</f>
        <v>1527.74512952999</v>
      </c>
      <c r="AC13" s="112">
        <v>1662.52760777</v>
      </c>
      <c r="AD13" s="109">
        <f>(SUM(RGPS_Valor_Dezembro!AA149,RGPS_Valor_Dezembro!AA62))/1000000</f>
        <v>1676.4368318596389</v>
      </c>
      <c r="AE13" s="109">
        <f>(SUM(RGPS_Valor_Dezembro!AB149,RGPS_Valor_Dezembro!AB62))/1000000</f>
        <v>2073.9595709999999</v>
      </c>
      <c r="AF13" s="109">
        <f>(SUM(RGPS_Valor_Dezembro!AC149,RGPS_Valor_Dezembro!AC62))/1000000</f>
        <v>2345.531156</v>
      </c>
      <c r="AG13" s="109">
        <f>(SUM(RGPS_Valor_Dezembro!AD149,RGPS_Valor_Dezembro!AD62))/1000000</f>
        <v>2672.986699</v>
      </c>
      <c r="AH13" s="109">
        <f>(SUM(RGPS_Valor_Dezembro!AE149,RGPS_Valor_Dezembro!AE62))/1000000</f>
        <v>3060.8809239102548</v>
      </c>
      <c r="AI13" s="109">
        <f>(SUM(RGPS_Valor_Dezembro!AF149,RGPS_Valor_Dezembro!AF62))/1000000</f>
        <v>3372.8907710407402</v>
      </c>
      <c r="AJ13" s="109">
        <f>(SUM(RGPS_Valor_Dezembro!AG149,RGPS_Valor_Dezembro!AG62))/1000000</f>
        <v>3757.1924790303178</v>
      </c>
      <c r="AK13" s="109">
        <f>(SUM(RGPS_Valor_Dezembro!AH149,RGPS_Valor_Dezembro!AH62))/1000000</f>
        <v>4254.919333470174</v>
      </c>
      <c r="AL13" s="109">
        <f>(SUM(RGPS_Valor_Dezembro!AI149,RGPS_Valor_Dezembro!AI62))/1000000</f>
        <v>4794.1576270594787</v>
      </c>
      <c r="AM13" s="109">
        <f>(SUM(RGPS_Valor_Dezembro!AJ149,RGPS_Valor_Dezembro!AJ62))/1000000</f>
        <v>5294.0344032300172</v>
      </c>
      <c r="AN13" s="109">
        <f>(SUM(RGPS_Valor_Dezembro!AK149,RGPS_Valor_Dezembro!AK62))/1000000</f>
        <v>6018.6066477395179</v>
      </c>
      <c r="AO13" s="109">
        <f>(SUM(RGPS_Valor_Dezembro!AL149,RGPS_Valor_Dezembro!AL62))/1000000</f>
        <v>6720.9963902787467</v>
      </c>
      <c r="AP13" s="109">
        <f t="shared" si="0"/>
        <v>6720.9963902787467</v>
      </c>
    </row>
    <row r="14" spans="1:42">
      <c r="B14" s="106"/>
      <c r="C14" s="37" t="s">
        <v>22</v>
      </c>
      <c r="D14" s="110">
        <f>(SUM(RGPS_Valor_Dezembro!C63:C64,RGPS_Valor_Dezembro!C150:C151))/1000000</f>
        <v>417.05916162002944</v>
      </c>
      <c r="E14" s="110">
        <f>(SUM(RGPS_Valor_Dezembro!D63:D64,RGPS_Valor_Dezembro!D150:D151))/1000000</f>
        <v>496.79283099999998</v>
      </c>
      <c r="F14" s="110">
        <f>(SUM(RGPS_Valor_Dezembro!E63:E64,RGPS_Valor_Dezembro!E150:E151))/1000000</f>
        <v>545.19372599999997</v>
      </c>
      <c r="G14" s="110">
        <f>(SUM(RGPS_Valor_Dezembro!F63:F64,RGPS_Valor_Dezembro!F150:F151))/1000000</f>
        <v>658.85176000000001</v>
      </c>
      <c r="H14" s="110">
        <f>(SUM(RGPS_Valor_Dezembro!G63:G64,RGPS_Valor_Dezembro!G150:G151))/1000000</f>
        <v>802.03296320001323</v>
      </c>
      <c r="I14" s="110">
        <f>(SUM(RGPS_Valor_Dezembro!H63:H64,RGPS_Valor_Dezembro!H150:H151))/1000000</f>
        <v>902.25611029002391</v>
      </c>
      <c r="J14" s="110">
        <f>(SUM(RGPS_Valor_Dezembro!I63:I64,RGPS_Valor_Dezembro!I150:I151))/1000000</f>
        <v>1009.1575012900216</v>
      </c>
      <c r="K14" s="110">
        <f>(SUM(RGPS_Valor_Dezembro!J63:J64,RGPS_Valor_Dezembro!J150:J151))/1000000</f>
        <v>1167.495029569973</v>
      </c>
      <c r="L14" s="110">
        <f>(SUM(RGPS_Valor_Dezembro!K63:K64,RGPS_Valor_Dezembro!K150:K151))/1000000</f>
        <v>1282.7294959700068</v>
      </c>
      <c r="M14" s="110">
        <f>(SUM(RGPS_Valor_Dezembro!L63:L64,RGPS_Valor_Dezembro!L150:L151))/1000000</f>
        <v>1372.6797490200004</v>
      </c>
      <c r="N14" s="110">
        <f>(SUM(RGPS_Valor_Dezembro!M63:M64,RGPS_Valor_Dezembro!M150:M151))/1000000</f>
        <v>1656.8743797000541</v>
      </c>
      <c r="O14" s="110">
        <f>(SUM(RGPS_Valor_Dezembro!N63:N64,RGPS_Valor_Dezembro!N150:N151))/1000000</f>
        <v>1824.9557335899467</v>
      </c>
      <c r="P14" s="128">
        <v>1961.92283441</v>
      </c>
      <c r="Q14" s="111">
        <f>(SUM(RGPS_Valor_Dezembro!O63:O64,RGPS_Valor_Dezembro!O150:O151))/1000000</f>
        <v>333.17232628000016</v>
      </c>
      <c r="R14" s="112">
        <f>(SUM(RGPS_Valor_Dezembro!P63:P64,RGPS_Valor_Dezembro!P150:P151))/1000000</f>
        <v>409.81755700000002</v>
      </c>
      <c r="S14" s="112">
        <f>(SUM(RGPS_Valor_Dezembro!Q63:Q64,RGPS_Valor_Dezembro!Q150:Q151))/1000000</f>
        <v>456.412462</v>
      </c>
      <c r="T14" s="112">
        <f>(SUM(RGPS_Valor_Dezembro!R63:R64,RGPS_Valor_Dezembro!R150:R151))/1000000</f>
        <v>541.820018</v>
      </c>
      <c r="U14" s="112">
        <f>(SUM(RGPS_Valor_Dezembro!S63:S64,RGPS_Valor_Dezembro!S150:S151))/1000000</f>
        <v>648.68570266999836</v>
      </c>
      <c r="V14" s="112">
        <f>(SUM(RGPS_Valor_Dezembro!T63:T64,RGPS_Valor_Dezembro!T150:T151))/1000000</f>
        <v>724.73289996999688</v>
      </c>
      <c r="W14" s="112">
        <f>(SUM(RGPS_Valor_Dezembro!U63:U64,RGPS_Valor_Dezembro!U150:U151))/1000000</f>
        <v>815.66396012999701</v>
      </c>
      <c r="X14" s="112">
        <f>(SUM(RGPS_Valor_Dezembro!V63:V64,RGPS_Valor_Dezembro!V150:V151))/1000000</f>
        <v>939.74005195999666</v>
      </c>
      <c r="Y14" s="112">
        <f>(SUM(RGPS_Valor_Dezembro!W63:W64,RGPS_Valor_Dezembro!W150:W151))/1000000</f>
        <v>1055.7787277500004</v>
      </c>
      <c r="Z14" s="112">
        <f>(SUM(RGPS_Valor_Dezembro!X63:X64,RGPS_Valor_Dezembro!X150:X151))/1000000</f>
        <v>1154.0036555799945</v>
      </c>
      <c r="AA14" s="112">
        <f>(SUM(RGPS_Valor_Dezembro!Y63:Y64,RGPS_Valor_Dezembro!Y150:Y151))/1000000</f>
        <v>1350.2753978500018</v>
      </c>
      <c r="AB14" s="112">
        <f>(SUM(RGPS_Valor_Dezembro!Z63:Z64,RGPS_Valor_Dezembro!Z150:Z151))/1000000</f>
        <v>1506.417919049997</v>
      </c>
      <c r="AC14" s="112">
        <v>1639.68368639</v>
      </c>
      <c r="AD14" s="109">
        <f>(SUM(RGPS_Valor_Dezembro!AA63:AA64,RGPS_Valor_Dezembro!AA150:AA151))/1000000</f>
        <v>750.23148790002949</v>
      </c>
      <c r="AE14" s="109">
        <f>(SUM(RGPS_Valor_Dezembro!AB63:AB64,RGPS_Valor_Dezembro!AB150:AB151))/1000000</f>
        <v>906.61038799999994</v>
      </c>
      <c r="AF14" s="109">
        <f>(SUM(RGPS_Valor_Dezembro!AC63:AC64,RGPS_Valor_Dezembro!AC150:AC151))/1000000</f>
        <v>1001.606188</v>
      </c>
      <c r="AG14" s="109">
        <f>(SUM(RGPS_Valor_Dezembro!AD63:AD64,RGPS_Valor_Dezembro!AD150:AD151))/1000000</f>
        <v>1200.6717779999999</v>
      </c>
      <c r="AH14" s="109">
        <f>(SUM(RGPS_Valor_Dezembro!AE63:AE64,RGPS_Valor_Dezembro!AE150:AE151))/1000000</f>
        <v>1450.7186658700118</v>
      </c>
      <c r="AI14" s="109">
        <f>(SUM(RGPS_Valor_Dezembro!AF63:AF64,RGPS_Valor_Dezembro!AF150:AF151))/1000000</f>
        <v>1626.9890102600207</v>
      </c>
      <c r="AJ14" s="109">
        <f>(SUM(RGPS_Valor_Dezembro!AG63:AG64,RGPS_Valor_Dezembro!AG150:AG151))/1000000</f>
        <v>1824.8214614200185</v>
      </c>
      <c r="AK14" s="109">
        <f>(SUM(RGPS_Valor_Dezembro!AH63:AH64,RGPS_Valor_Dezembro!AH150:AH151))/1000000</f>
        <v>2107.2350815299696</v>
      </c>
      <c r="AL14" s="109">
        <f>(SUM(RGPS_Valor_Dezembro!AI63:AI64,RGPS_Valor_Dezembro!AI150:AI151))/1000000</f>
        <v>2338.5082237200072</v>
      </c>
      <c r="AM14" s="109">
        <f>(SUM(RGPS_Valor_Dezembro!AJ63:AJ64,RGPS_Valor_Dezembro!AJ150:AJ151))/1000000</f>
        <v>2526.6834045999954</v>
      </c>
      <c r="AN14" s="109">
        <f>(SUM(RGPS_Valor_Dezembro!AK63:AK64,RGPS_Valor_Dezembro!AK150:AK151))/1000000</f>
        <v>3007.1497775500561</v>
      </c>
      <c r="AO14" s="109">
        <f>(SUM(RGPS_Valor_Dezembro!AL63:AL64,RGPS_Valor_Dezembro!AL150:AL151))/1000000</f>
        <v>3331.3736526399434</v>
      </c>
      <c r="AP14" s="109">
        <f t="shared" si="0"/>
        <v>3331.3736526399434</v>
      </c>
    </row>
    <row r="15" spans="1:42">
      <c r="B15" s="106"/>
      <c r="C15" s="37" t="s">
        <v>40</v>
      </c>
      <c r="D15" s="110">
        <f>(D13-D14)</f>
        <v>916.32013303960957</v>
      </c>
      <c r="E15" s="110">
        <f t="shared" ref="E15:AO15" si="4">(E13-E14)</f>
        <v>1154.2915499999999</v>
      </c>
      <c r="F15" s="110">
        <f t="shared" si="4"/>
        <v>1329.6867669999999</v>
      </c>
      <c r="G15" s="110">
        <f t="shared" si="4"/>
        <v>1458.0976019999998</v>
      </c>
      <c r="H15" s="110">
        <f t="shared" si="4"/>
        <v>1596.0493715102423</v>
      </c>
      <c r="I15" s="110">
        <f t="shared" si="4"/>
        <v>1731.5567861107161</v>
      </c>
      <c r="J15" s="110">
        <f t="shared" si="4"/>
        <v>1917.135573950296</v>
      </c>
      <c r="K15" s="110">
        <f t="shared" si="4"/>
        <v>2131.7071222002105</v>
      </c>
      <c r="L15" s="110">
        <f t="shared" si="4"/>
        <v>2437.458956609471</v>
      </c>
      <c r="M15" s="110">
        <f t="shared" si="4"/>
        <v>2747.4106345800274</v>
      </c>
      <c r="N15" s="110">
        <f t="shared" si="4"/>
        <v>2991.939512099455</v>
      </c>
      <c r="O15" s="110">
        <f t="shared" si="4"/>
        <v>3368.2955271588103</v>
      </c>
      <c r="P15" s="128">
        <f>P13-P14</f>
        <v>3718.6909595799989</v>
      </c>
      <c r="Q15" s="111">
        <f t="shared" si="4"/>
        <v>9.8852109199967231</v>
      </c>
      <c r="R15" s="112">
        <f t="shared" si="4"/>
        <v>13.057632999999953</v>
      </c>
      <c r="S15" s="112">
        <f t="shared" si="4"/>
        <v>14.238201000000004</v>
      </c>
      <c r="T15" s="112">
        <f t="shared" si="4"/>
        <v>14.217318999999975</v>
      </c>
      <c r="U15" s="112">
        <f t="shared" si="4"/>
        <v>14.112886530001447</v>
      </c>
      <c r="V15" s="112">
        <f t="shared" si="4"/>
        <v>14.344974669994826</v>
      </c>
      <c r="W15" s="112">
        <f t="shared" si="4"/>
        <v>15.235443659998964</v>
      </c>
      <c r="X15" s="112">
        <f t="shared" si="4"/>
        <v>15.977129739992165</v>
      </c>
      <c r="Y15" s="112">
        <f t="shared" si="4"/>
        <v>18.190446729999621</v>
      </c>
      <c r="Z15" s="112">
        <f t="shared" si="4"/>
        <v>19.940364049995196</v>
      </c>
      <c r="AA15" s="112">
        <f t="shared" si="4"/>
        <v>19.517358090008202</v>
      </c>
      <c r="AB15" s="112">
        <f t="shared" si="4"/>
        <v>21.327210479993028</v>
      </c>
      <c r="AC15" s="112">
        <f>AC13-AC14</f>
        <v>22.843921379999983</v>
      </c>
      <c r="AD15" s="109">
        <f t="shared" si="4"/>
        <v>926.20534395960942</v>
      </c>
      <c r="AE15" s="109">
        <f t="shared" si="4"/>
        <v>1167.3491829999998</v>
      </c>
      <c r="AF15" s="109">
        <f t="shared" si="4"/>
        <v>1343.924968</v>
      </c>
      <c r="AG15" s="109">
        <f t="shared" si="4"/>
        <v>1472.3149210000001</v>
      </c>
      <c r="AH15" s="109">
        <f t="shared" si="4"/>
        <v>1610.1622580402429</v>
      </c>
      <c r="AI15" s="109">
        <f t="shared" si="4"/>
        <v>1745.9017607807195</v>
      </c>
      <c r="AJ15" s="109">
        <f t="shared" si="4"/>
        <v>1932.3710176102993</v>
      </c>
      <c r="AK15" s="109">
        <f t="shared" si="4"/>
        <v>2147.6842519402044</v>
      </c>
      <c r="AL15" s="109">
        <f t="shared" si="4"/>
        <v>2455.6494033394715</v>
      </c>
      <c r="AM15" s="109">
        <f t="shared" si="4"/>
        <v>2767.3509986300219</v>
      </c>
      <c r="AN15" s="109">
        <f t="shared" si="4"/>
        <v>3011.4568701894618</v>
      </c>
      <c r="AO15" s="109">
        <f t="shared" si="4"/>
        <v>3389.6227376388033</v>
      </c>
      <c r="AP15" s="109">
        <f t="shared" si="0"/>
        <v>3389.6227376388033</v>
      </c>
    </row>
    <row r="16" spans="1:42">
      <c r="B16" s="106" t="s">
        <v>49</v>
      </c>
      <c r="C16" s="105" t="s">
        <v>3</v>
      </c>
      <c r="D16" s="110">
        <f>(RGPS_Valor_Dezembro!C77+RGPS_Valor_Dezembro!C163)/1000000</f>
        <v>414.41631175989528</v>
      </c>
      <c r="E16" s="110">
        <f>(RGPS_Valor_Dezembro!D77+RGPS_Valor_Dezembro!D163)/1000000</f>
        <v>642.89456099999995</v>
      </c>
      <c r="F16" s="110">
        <f>(RGPS_Valor_Dezembro!E77+RGPS_Valor_Dezembro!E163)/1000000</f>
        <v>864.59223199999997</v>
      </c>
      <c r="G16" s="110">
        <f>(RGPS_Valor_Dezembro!F77+RGPS_Valor_Dezembro!F163)/1000000</f>
        <v>1002.325513</v>
      </c>
      <c r="H16" s="110">
        <f>(RGPS_Valor_Dezembro!G77+RGPS_Valor_Dezembro!G163)/1000000</f>
        <v>1047.3447174602522</v>
      </c>
      <c r="I16" s="110">
        <f>(RGPS_Valor_Dezembro!H77+RGPS_Valor_Dezembro!H163)/1000000</f>
        <v>959.33013907002203</v>
      </c>
      <c r="J16" s="110">
        <f>(RGPS_Valor_Dezembro!I77+RGPS_Valor_Dezembro!I163)/1000000</f>
        <v>952.69324676007898</v>
      </c>
      <c r="K16" s="110">
        <f>(RGPS_Valor_Dezembro!J77+RGPS_Valor_Dezembro!J163)/1000000</f>
        <v>937.90174006008397</v>
      </c>
      <c r="L16" s="110">
        <f>(RGPS_Valor_Dezembro!K77+RGPS_Valor_Dezembro!K163)/1000000</f>
        <v>1132.6009706399232</v>
      </c>
      <c r="M16" s="110">
        <f>(RGPS_Valor_Dezembro!L77+RGPS_Valor_Dezembro!L163)/1000000</f>
        <v>1212.1702620002188</v>
      </c>
      <c r="N16" s="110">
        <f>(RGPS_Valor_Dezembro!M77+RGPS_Valor_Dezembro!M163)/1000000</f>
        <v>1337.303926960097</v>
      </c>
      <c r="O16" s="110">
        <f>(RGPS_Valor_Dezembro!N77+RGPS_Valor_Dezembro!N163)/1000000</f>
        <v>1552.93757315004</v>
      </c>
      <c r="P16" s="128">
        <v>1671.1713434900003</v>
      </c>
      <c r="Q16" s="111">
        <f>(RGPS_Valor_Dezembro!O77+RGPS_Valor_Dezembro!O163)/1000000</f>
        <v>27.045196429999191</v>
      </c>
      <c r="R16" s="112">
        <f>(RGPS_Valor_Dezembro!P77+RGPS_Valor_Dezembro!P163)/1000000</f>
        <v>37.143509000000002</v>
      </c>
      <c r="S16" s="112">
        <f>(RGPS_Valor_Dezembro!Q77+RGPS_Valor_Dezembro!Q163)/1000000</f>
        <v>44.369956000000002</v>
      </c>
      <c r="T16" s="112">
        <f>(RGPS_Valor_Dezembro!R77+RGPS_Valor_Dezembro!R163)/1000000</f>
        <v>48.650357</v>
      </c>
      <c r="U16" s="112">
        <f>(RGPS_Valor_Dezembro!S77+RGPS_Valor_Dezembro!S163)/1000000</f>
        <v>49.227692480000222</v>
      </c>
      <c r="V16" s="112">
        <f>(RGPS_Valor_Dezembro!T77+RGPS_Valor_Dezembro!T163)/1000000</f>
        <v>49.397634330000038</v>
      </c>
      <c r="W16" s="112">
        <f>(RGPS_Valor_Dezembro!U77+RGPS_Valor_Dezembro!U163)/1000000</f>
        <v>53.057282409999829</v>
      </c>
      <c r="X16" s="112">
        <f>(RGPS_Valor_Dezembro!V77+RGPS_Valor_Dezembro!V163)/1000000</f>
        <v>60.14160463999989</v>
      </c>
      <c r="Y16" s="112">
        <f>(RGPS_Valor_Dezembro!W77+RGPS_Valor_Dezembro!W163)/1000000</f>
        <v>75.689769110000015</v>
      </c>
      <c r="Z16" s="112">
        <f>(RGPS_Valor_Dezembro!X77+RGPS_Valor_Dezembro!X163)/1000000</f>
        <v>83.976243839999896</v>
      </c>
      <c r="AA16" s="112">
        <f>(RGPS_Valor_Dezembro!Y77+RGPS_Valor_Dezembro!Y163)/1000000</f>
        <v>103.93865618000008</v>
      </c>
      <c r="AB16" s="112">
        <f>(RGPS_Valor_Dezembro!Z77+RGPS_Valor_Dezembro!Z163)/1000000</f>
        <v>126.79175378000002</v>
      </c>
      <c r="AC16" s="112">
        <v>145.49198282000003</v>
      </c>
      <c r="AD16" s="109">
        <f>(RGPS_Valor_Dezembro!AA77+RGPS_Valor_Dezembro!AA163)/1000000</f>
        <v>441.46150818989446</v>
      </c>
      <c r="AE16" s="109">
        <f>(RGPS_Valor_Dezembro!AB77+RGPS_Valor_Dezembro!AB163)/1000000</f>
        <v>680.03806999999995</v>
      </c>
      <c r="AF16" s="109">
        <f>(RGPS_Valor_Dezembro!AC77+RGPS_Valor_Dezembro!AC163)/1000000</f>
        <v>908.96218799999997</v>
      </c>
      <c r="AG16" s="109">
        <f>(RGPS_Valor_Dezembro!AD77+RGPS_Valor_Dezembro!AD163)/1000000</f>
        <v>1050.97587</v>
      </c>
      <c r="AH16" s="109">
        <f>(RGPS_Valor_Dezembro!AE77+RGPS_Valor_Dezembro!AE163)/1000000</f>
        <v>1096.5724099402562</v>
      </c>
      <c r="AI16" s="109">
        <f>(RGPS_Valor_Dezembro!AF77+RGPS_Valor_Dezembro!AF163)/1000000</f>
        <v>1008.727773400022</v>
      </c>
      <c r="AJ16" s="109">
        <f>(RGPS_Valor_Dezembro!AG77+RGPS_Valor_Dezembro!AG163)/1000000</f>
        <v>1005.7505291700789</v>
      </c>
      <c r="AK16" s="109">
        <f>(RGPS_Valor_Dezembro!AH77+RGPS_Valor_Dezembro!AH163)/1000000</f>
        <v>998.04334470008394</v>
      </c>
      <c r="AL16" s="109">
        <f>(RGPS_Valor_Dezembro!AI77+RGPS_Valor_Dezembro!AI163)/1000000</f>
        <v>1208.2907397499239</v>
      </c>
      <c r="AM16" s="109">
        <f>(RGPS_Valor_Dezembro!AJ77+RGPS_Valor_Dezembro!AJ163)/1000000</f>
        <v>1296.1465058402191</v>
      </c>
      <c r="AN16" s="109">
        <f>(RGPS_Valor_Dezembro!AK77+RGPS_Valor_Dezembro!AK163)/1000000</f>
        <v>1441.2425831400972</v>
      </c>
      <c r="AO16" s="109">
        <f>(RGPS_Valor_Dezembro!AL77+RGPS_Valor_Dezembro!AL163)/1000000</f>
        <v>1679.7293269300401</v>
      </c>
      <c r="AP16" s="109">
        <f t="shared" si="0"/>
        <v>1679.7293269300401</v>
      </c>
    </row>
    <row r="17" spans="1:43">
      <c r="B17" s="106"/>
      <c r="C17" s="37" t="s">
        <v>22</v>
      </c>
      <c r="D17" s="110">
        <f>(SUM(RGPS_Valor_Dezembro!C78:C79,RGPS_Valor_Dezembro!C164:C165))/1000000</f>
        <v>35.414613789999905</v>
      </c>
      <c r="E17" s="110">
        <f>(SUM(RGPS_Valor_Dezembro!D78:D79,RGPS_Valor_Dezembro!D164:D165))/1000000</f>
        <v>47.602449999999997</v>
      </c>
      <c r="F17" s="110">
        <f>(SUM(RGPS_Valor_Dezembro!E78:E79,RGPS_Valor_Dezembro!E164:E165))/1000000</f>
        <v>74.528964999999999</v>
      </c>
      <c r="G17" s="110">
        <f>(SUM(RGPS_Valor_Dezembro!F78:F79,RGPS_Valor_Dezembro!F164:F165))/1000000</f>
        <v>100.517821</v>
      </c>
      <c r="H17" s="110">
        <f>(SUM(RGPS_Valor_Dezembro!G78:G79,RGPS_Valor_Dezembro!G164:G165))/1000000</f>
        <v>131.24130326999997</v>
      </c>
      <c r="I17" s="110">
        <f>(SUM(RGPS_Valor_Dezembro!H78:H79,RGPS_Valor_Dezembro!H164:H165))/1000000</f>
        <v>130.29183846999979</v>
      </c>
      <c r="J17" s="110">
        <f>(SUM(RGPS_Valor_Dezembro!I78:I79,RGPS_Valor_Dezembro!I164:I165))/1000000</f>
        <v>138.77201667999958</v>
      </c>
      <c r="K17" s="110">
        <f>(SUM(RGPS_Valor_Dezembro!J78:J79,RGPS_Valor_Dezembro!J164:J165))/1000000</f>
        <v>159.52635717999937</v>
      </c>
      <c r="L17" s="110">
        <f>(SUM(RGPS_Valor_Dezembro!K78:K79,RGPS_Valor_Dezembro!K164:K165))/1000000</f>
        <v>201.33852319000101</v>
      </c>
      <c r="M17" s="110">
        <f>(SUM(RGPS_Valor_Dezembro!L78:L79,RGPS_Valor_Dezembro!L164:L165))/1000000</f>
        <v>217.72551172000027</v>
      </c>
      <c r="N17" s="110">
        <f>(SUM(RGPS_Valor_Dezembro!M78:M79,RGPS_Valor_Dezembro!M164:M165))/1000000</f>
        <v>298.86092069000102</v>
      </c>
      <c r="O17" s="110">
        <f>(SUM(RGPS_Valor_Dezembro!N78:N79,RGPS_Valor_Dezembro!N164:N165))/1000000</f>
        <v>356.35052936999989</v>
      </c>
      <c r="P17" s="128">
        <v>391.68138543000003</v>
      </c>
      <c r="Q17" s="111">
        <f>(SUM(RGPS_Valor_Dezembro!O78:O79,RGPS_Valor_Dezembro!O164:O165))/1000000</f>
        <v>21.481862260000003</v>
      </c>
      <c r="R17" s="112">
        <f>(SUM(RGPS_Valor_Dezembro!P78:P79,RGPS_Valor_Dezembro!P164:P165))/1000000</f>
        <v>31.410387</v>
      </c>
      <c r="S17" s="112">
        <f>(SUM(RGPS_Valor_Dezembro!Q78:Q79,RGPS_Valor_Dezembro!Q164:Q165))/1000000</f>
        <v>38.844189</v>
      </c>
      <c r="T17" s="112">
        <f>(SUM(RGPS_Valor_Dezembro!R78:R79,RGPS_Valor_Dezembro!R164:R165))/1000000</f>
        <v>44.801031999999999</v>
      </c>
      <c r="U17" s="112">
        <f>(SUM(RGPS_Valor_Dezembro!S78:S79,RGPS_Valor_Dezembro!S164:S165))/1000000</f>
        <v>47.06223507</v>
      </c>
      <c r="V17" s="112">
        <f>(SUM(RGPS_Valor_Dezembro!T78:T79,RGPS_Valor_Dezembro!T164:T165))/1000000</f>
        <v>48.040293909999995</v>
      </c>
      <c r="W17" s="112">
        <f>(SUM(RGPS_Valor_Dezembro!U78:U79,RGPS_Valor_Dezembro!U164:U165))/1000000</f>
        <v>52.253363989999997</v>
      </c>
      <c r="X17" s="112">
        <f>(SUM(RGPS_Valor_Dezembro!V78:V79,RGPS_Valor_Dezembro!V164:V165))/1000000</f>
        <v>59.547946639999999</v>
      </c>
      <c r="Y17" s="112">
        <f>(SUM(RGPS_Valor_Dezembro!W78:W79,RGPS_Valor_Dezembro!W164:W165))/1000000</f>
        <v>75.143258189999997</v>
      </c>
      <c r="Z17" s="112">
        <f>(SUM(RGPS_Valor_Dezembro!X78:X79,RGPS_Valor_Dezembro!X164:X165))/1000000</f>
        <v>83.451773500000002</v>
      </c>
      <c r="AA17" s="112">
        <f>(SUM(RGPS_Valor_Dezembro!Y78:Y79,RGPS_Valor_Dezembro!Y164:Y165))/1000000</f>
        <v>103.46900710999998</v>
      </c>
      <c r="AB17" s="112">
        <f>(SUM(RGPS_Valor_Dezembro!Z78:Z79,RGPS_Valor_Dezembro!Z164:Z165))/1000000</f>
        <v>126.29953239</v>
      </c>
      <c r="AC17" s="112">
        <v>145.02067724999998</v>
      </c>
      <c r="AD17" s="109">
        <f>(SUM(RGPS_Valor_Dezembro!AA78:AA79,RGPS_Valor_Dezembro!AA164:AA165))/1000000</f>
        <v>56.896476049999897</v>
      </c>
      <c r="AE17" s="109">
        <f>(SUM(RGPS_Valor_Dezembro!AB78:AB79,RGPS_Valor_Dezembro!AB164:AB165))/1000000</f>
        <v>79.012837000000005</v>
      </c>
      <c r="AF17" s="109">
        <f>(SUM(RGPS_Valor_Dezembro!AC78:AC79,RGPS_Valor_Dezembro!AC164:AC165))/1000000</f>
        <v>113.373154</v>
      </c>
      <c r="AG17" s="109">
        <f>(SUM(RGPS_Valor_Dezembro!AD78:AD79,RGPS_Valor_Dezembro!AD164:AD165))/1000000</f>
        <v>145.31885299999999</v>
      </c>
      <c r="AH17" s="109">
        <f>(SUM(RGPS_Valor_Dezembro!AE78:AE79,RGPS_Valor_Dezembro!AE164:AE165))/1000000</f>
        <v>178.30353833999996</v>
      </c>
      <c r="AI17" s="109">
        <f>(SUM(RGPS_Valor_Dezembro!AF78:AF79,RGPS_Valor_Dezembro!AF164:AF165))/1000000</f>
        <v>178.33213237999979</v>
      </c>
      <c r="AJ17" s="109">
        <f>(SUM(RGPS_Valor_Dezembro!AG78:AG79,RGPS_Valor_Dezembro!AG164:AG165))/1000000</f>
        <v>191.02538066999961</v>
      </c>
      <c r="AK17" s="109">
        <f>(SUM(RGPS_Valor_Dezembro!AH78:AH79,RGPS_Valor_Dezembro!AH164:AH165))/1000000</f>
        <v>219.07430381999933</v>
      </c>
      <c r="AL17" s="109">
        <f>(SUM(RGPS_Valor_Dezembro!AI78:AI79,RGPS_Valor_Dezembro!AI164:AI165))/1000000</f>
        <v>276.481781380001</v>
      </c>
      <c r="AM17" s="109">
        <f>(SUM(RGPS_Valor_Dezembro!AJ78:AJ79,RGPS_Valor_Dezembro!AJ164:AJ165))/1000000</f>
        <v>301.17728522000027</v>
      </c>
      <c r="AN17" s="109">
        <f>(SUM(RGPS_Valor_Dezembro!AK78:AK79,RGPS_Valor_Dezembro!AK164:AK165))/1000000</f>
        <v>402.32992780000103</v>
      </c>
      <c r="AO17" s="109">
        <f>(SUM(RGPS_Valor_Dezembro!AL78:AL79,RGPS_Valor_Dezembro!AL164:AL165))/1000000</f>
        <v>482.65006175999986</v>
      </c>
      <c r="AP17" s="109">
        <f t="shared" si="0"/>
        <v>482.65006175999986</v>
      </c>
    </row>
    <row r="18" spans="1:43">
      <c r="B18" s="106"/>
      <c r="C18" s="37" t="s">
        <v>40</v>
      </c>
      <c r="D18" s="110">
        <f>(D16-D17)</f>
        <v>379.00169796989536</v>
      </c>
      <c r="E18" s="110">
        <f t="shared" ref="E18:AO18" si="5">(E16-E17)</f>
        <v>595.29211099999998</v>
      </c>
      <c r="F18" s="110">
        <f t="shared" si="5"/>
        <v>790.063267</v>
      </c>
      <c r="G18" s="110">
        <f t="shared" si="5"/>
        <v>901.80769199999997</v>
      </c>
      <c r="H18" s="110">
        <f t="shared" si="5"/>
        <v>916.10341419025224</v>
      </c>
      <c r="I18" s="110">
        <f t="shared" si="5"/>
        <v>829.03830060002224</v>
      </c>
      <c r="J18" s="110">
        <f t="shared" si="5"/>
        <v>813.92123008007934</v>
      </c>
      <c r="K18" s="110">
        <f t="shared" si="5"/>
        <v>778.37538288008454</v>
      </c>
      <c r="L18" s="110">
        <f t="shared" si="5"/>
        <v>931.26244744992209</v>
      </c>
      <c r="M18" s="110">
        <f t="shared" si="5"/>
        <v>994.44475028021861</v>
      </c>
      <c r="N18" s="110">
        <f t="shared" si="5"/>
        <v>1038.443006270096</v>
      </c>
      <c r="O18" s="110">
        <f t="shared" si="5"/>
        <v>1196.5870437800399</v>
      </c>
      <c r="P18" s="128">
        <f>P16-P17</f>
        <v>1279.4899580600002</v>
      </c>
      <c r="Q18" s="111">
        <f t="shared" si="5"/>
        <v>5.5633341699991874</v>
      </c>
      <c r="R18" s="112">
        <f t="shared" si="5"/>
        <v>5.7331220000000016</v>
      </c>
      <c r="S18" s="112">
        <f t="shared" si="5"/>
        <v>5.5257670000000019</v>
      </c>
      <c r="T18" s="112">
        <f t="shared" si="5"/>
        <v>3.8493250000000003</v>
      </c>
      <c r="U18" s="112">
        <f t="shared" si="5"/>
        <v>2.1654574100002222</v>
      </c>
      <c r="V18" s="112">
        <f t="shared" si="5"/>
        <v>1.3573404200000425</v>
      </c>
      <c r="W18" s="112">
        <f t="shared" si="5"/>
        <v>0.80391841999983171</v>
      </c>
      <c r="X18" s="112">
        <f t="shared" si="5"/>
        <v>0.59365799999989122</v>
      </c>
      <c r="Y18" s="112">
        <f t="shared" si="5"/>
        <v>0.54651092000001711</v>
      </c>
      <c r="Z18" s="112">
        <f t="shared" si="5"/>
        <v>0.52447033999989401</v>
      </c>
      <c r="AA18" s="112">
        <f t="shared" si="5"/>
        <v>0.46964907000010214</v>
      </c>
      <c r="AB18" s="112">
        <f t="shared" si="5"/>
        <v>0.49222139000002585</v>
      </c>
      <c r="AC18" s="112">
        <f>AC16-AC17</f>
        <v>0.47130557000005524</v>
      </c>
      <c r="AD18" s="109">
        <f t="shared" si="5"/>
        <v>384.56503213989458</v>
      </c>
      <c r="AE18" s="109">
        <f t="shared" si="5"/>
        <v>601.02523299999996</v>
      </c>
      <c r="AF18" s="109">
        <f t="shared" si="5"/>
        <v>795.58903399999997</v>
      </c>
      <c r="AG18" s="109">
        <f t="shared" si="5"/>
        <v>905.657017</v>
      </c>
      <c r="AH18" s="109">
        <f t="shared" si="5"/>
        <v>918.26887160025626</v>
      </c>
      <c r="AI18" s="109">
        <f t="shared" si="5"/>
        <v>830.39564102002214</v>
      </c>
      <c r="AJ18" s="109">
        <f t="shared" si="5"/>
        <v>814.72514850007929</v>
      </c>
      <c r="AK18" s="109">
        <f t="shared" si="5"/>
        <v>778.96904088008455</v>
      </c>
      <c r="AL18" s="109">
        <f t="shared" si="5"/>
        <v>931.80895836992295</v>
      </c>
      <c r="AM18" s="109">
        <f t="shared" si="5"/>
        <v>994.96922062021883</v>
      </c>
      <c r="AN18" s="109">
        <f t="shared" si="5"/>
        <v>1038.9126553400961</v>
      </c>
      <c r="AO18" s="109">
        <f t="shared" si="5"/>
        <v>1197.0792651700403</v>
      </c>
      <c r="AP18" s="109">
        <f t="shared" si="0"/>
        <v>1197.0792651700403</v>
      </c>
    </row>
    <row r="19" spans="1:43">
      <c r="B19" s="106" t="s">
        <v>50</v>
      </c>
      <c r="C19" s="105" t="s">
        <v>3</v>
      </c>
      <c r="D19" s="110">
        <f>(SUM(RGPS_Valor_Dezembro!C100,RGPS_Valor_Dezembro!C174))/1000000</f>
        <v>54.736068110008503</v>
      </c>
      <c r="E19" s="110">
        <f>(SUM(RGPS_Valor_Dezembro!D100,RGPS_Valor_Dezembro!D174))/1000000</f>
        <v>67.765905000000004</v>
      </c>
      <c r="F19" s="110">
        <f>(SUM(RGPS_Valor_Dezembro!E100,RGPS_Valor_Dezembro!E174))/1000000</f>
        <v>73.417446999999996</v>
      </c>
      <c r="G19" s="110">
        <f>(SUM(RGPS_Valor_Dezembro!F100,RGPS_Valor_Dezembro!F174))/1000000</f>
        <v>81.827442000000005</v>
      </c>
      <c r="H19" s="110">
        <f>(SUM(RGPS_Valor_Dezembro!G100,RGPS_Valor_Dezembro!G174))/1000000</f>
        <v>90.521162309999454</v>
      </c>
      <c r="I19" s="110">
        <f>(SUM(RGPS_Valor_Dezembro!H100,RGPS_Valor_Dezembro!H174))/1000000</f>
        <v>97.709112549983431</v>
      </c>
      <c r="J19" s="110">
        <f>(SUM(RGPS_Valor_Dezembro!I100,RGPS_Valor_Dezembro!I174))/1000000</f>
        <v>107.11974318998492</v>
      </c>
      <c r="K19" s="110">
        <f>(SUM(RGPS_Valor_Dezembro!J100,RGPS_Valor_Dezembro!J174))/1000000</f>
        <v>119.51497907994164</v>
      </c>
      <c r="L19" s="110">
        <f>(SUM(RGPS_Valor_Dezembro!K100,RGPS_Valor_Dezembro!K174))/1000000</f>
        <v>135.20974593002802</v>
      </c>
      <c r="M19" s="110">
        <f>(SUM(RGPS_Valor_Dezembro!L100,RGPS_Valor_Dezembro!L174))/1000000</f>
        <v>152.40554104999819</v>
      </c>
      <c r="N19" s="110">
        <f>(SUM(RGPS_Valor_Dezembro!M100,RGPS_Valor_Dezembro!M174))/1000000</f>
        <v>172.27286401993982</v>
      </c>
      <c r="O19" s="110">
        <f>(SUM(RGPS_Valor_Dezembro!N100,RGPS_Valor_Dezembro!N174))/1000000</f>
        <v>196.92082053003512</v>
      </c>
      <c r="P19" s="128">
        <v>219.03338400000001</v>
      </c>
      <c r="Q19" s="111">
        <f>(SUM(RGPS_Valor_Dezembro!O100,RGPS_Valor_Dezembro!O174))/1000000</f>
        <v>0.74282722999999196</v>
      </c>
      <c r="R19" s="112">
        <f>(SUM(RGPS_Valor_Dezembro!P100,RGPS_Valor_Dezembro!P174))/1000000</f>
        <v>0.995726</v>
      </c>
      <c r="S19" s="112">
        <f>(SUM(RGPS_Valor_Dezembro!Q100,RGPS_Valor_Dezembro!Q174))/1000000</f>
        <v>1.183697</v>
      </c>
      <c r="T19" s="112">
        <f>(SUM(RGPS_Valor_Dezembro!R100,RGPS_Valor_Dezembro!R174))/1000000</f>
        <v>1.498337</v>
      </c>
      <c r="U19" s="112">
        <f>(SUM(RGPS_Valor_Dezembro!S100,RGPS_Valor_Dezembro!S174))/1000000</f>
        <v>1.999481380000707</v>
      </c>
      <c r="V19" s="112">
        <f>(SUM(RGPS_Valor_Dezembro!T100,RGPS_Valor_Dezembro!T174))/1000000</f>
        <v>2.3533768099998102</v>
      </c>
      <c r="W19" s="112">
        <f>(SUM(RGPS_Valor_Dezembro!U100,RGPS_Valor_Dezembro!U174))/1000000</f>
        <v>2.7905584099996603</v>
      </c>
      <c r="X19" s="112">
        <f>(SUM(RGPS_Valor_Dezembro!V100,RGPS_Valor_Dezembro!V174))/1000000</f>
        <v>3.3838459699998098</v>
      </c>
      <c r="Y19" s="112">
        <f>(SUM(RGPS_Valor_Dezembro!W100,RGPS_Valor_Dezembro!W174))/1000000</f>
        <v>4.0023676300009603</v>
      </c>
      <c r="Z19" s="112">
        <f>(SUM(RGPS_Valor_Dezembro!X100,RGPS_Valor_Dezembro!X174))/1000000</f>
        <v>4.6279205199980309</v>
      </c>
      <c r="AA19" s="112">
        <f>(SUM(RGPS_Valor_Dezembro!Y100,RGPS_Valor_Dezembro!Y174))/1000000</f>
        <v>5.6134569500001499</v>
      </c>
      <c r="AB19" s="112">
        <f>(SUM(RGPS_Valor_Dezembro!Z100,RGPS_Valor_Dezembro!Z174))/1000000</f>
        <v>6.5628101300004404</v>
      </c>
      <c r="AC19" s="112">
        <v>7.4129822900000013</v>
      </c>
      <c r="AD19" s="109">
        <f>(SUM(RGPS_Valor_Dezembro!AA100,RGPS_Valor_Dezembro!AA174))/1000000</f>
        <v>55.478895340008542</v>
      </c>
      <c r="AE19" s="109">
        <f>(SUM(RGPS_Valor_Dezembro!AB100,RGPS_Valor_Dezembro!AB174))/1000000</f>
        <v>68.761630999999994</v>
      </c>
      <c r="AF19" s="109">
        <f>(SUM(RGPS_Valor_Dezembro!AC100,RGPS_Valor_Dezembro!AC174))/1000000</f>
        <v>74.601144000000005</v>
      </c>
      <c r="AG19" s="109">
        <f>(SUM(RGPS_Valor_Dezembro!AD100,RGPS_Valor_Dezembro!AD174))/1000000</f>
        <v>83.325778999999997</v>
      </c>
      <c r="AH19" s="109">
        <f>(SUM(RGPS_Valor_Dezembro!AE100,RGPS_Valor_Dezembro!AE174))/1000000</f>
        <v>92.520643690000156</v>
      </c>
      <c r="AI19" s="109">
        <f>(SUM(RGPS_Valor_Dezembro!AF100,RGPS_Valor_Dezembro!AF174))/1000000</f>
        <v>100.0624893599832</v>
      </c>
      <c r="AJ19" s="109">
        <f>(SUM(RGPS_Valor_Dezembro!AG100,RGPS_Valor_Dezembro!AG174))/1000000</f>
        <v>109.91030159998429</v>
      </c>
      <c r="AK19" s="109">
        <f>(SUM(RGPS_Valor_Dezembro!AH100,RGPS_Valor_Dezembro!AH174))/1000000</f>
        <v>122.89882504994189</v>
      </c>
      <c r="AL19" s="109">
        <f>(SUM(RGPS_Valor_Dezembro!AI100,RGPS_Valor_Dezembro!AI174))/1000000</f>
        <v>139.2121135600292</v>
      </c>
      <c r="AM19" s="109">
        <f>(SUM(RGPS_Valor_Dezembro!AJ100,RGPS_Valor_Dezembro!AJ174))/1000000</f>
        <v>157.03346156999609</v>
      </c>
      <c r="AN19" s="109">
        <f>(SUM(RGPS_Valor_Dezembro!AK100,RGPS_Valor_Dezembro!AK174))/1000000</f>
        <v>177.88632096994073</v>
      </c>
      <c r="AO19" s="109">
        <f>(SUM(RGPS_Valor_Dezembro!AL100,RGPS_Valor_Dezembro!AL174))/1000000</f>
        <v>203.4836306600356</v>
      </c>
      <c r="AP19" s="109">
        <f t="shared" si="0"/>
        <v>203.4836306600356</v>
      </c>
    </row>
    <row r="20" spans="1:43">
      <c r="B20" s="106"/>
      <c r="C20" s="37" t="s">
        <v>22</v>
      </c>
      <c r="D20" s="110">
        <f>(SUM(RGPS_Valor_Dezembro!C175:C176,RGPS_Valor_Dezembro!C101:C102))/1000000</f>
        <v>18.634054520002323</v>
      </c>
      <c r="E20" s="110">
        <f>(SUM(RGPS_Valor_Dezembro!D175:D176,RGPS_Valor_Dezembro!D101:D102))/1000000</f>
        <v>22.276744999999998</v>
      </c>
      <c r="F20" s="110">
        <f>(SUM(RGPS_Valor_Dezembro!E175:E176,RGPS_Valor_Dezembro!E101:E102))/1000000</f>
        <v>24.241154999999999</v>
      </c>
      <c r="G20" s="110">
        <f>(SUM(RGPS_Valor_Dezembro!F175:F176,RGPS_Valor_Dezembro!F101:F102))/1000000</f>
        <v>28.810207999999999</v>
      </c>
      <c r="H20" s="110">
        <f>(SUM(RGPS_Valor_Dezembro!G175:G176,RGPS_Valor_Dezembro!G101:G102))/1000000</f>
        <v>35.075940120002713</v>
      </c>
      <c r="I20" s="110">
        <f>(SUM(RGPS_Valor_Dezembro!H175:H176,RGPS_Valor_Dezembro!H101:H102))/1000000</f>
        <v>38.873553909982675</v>
      </c>
      <c r="J20" s="110">
        <f>(SUM(RGPS_Valor_Dezembro!I175:I176,RGPS_Valor_Dezembro!I101:I102))/1000000</f>
        <v>43.447363829978919</v>
      </c>
      <c r="K20" s="110">
        <f>(SUM(RGPS_Valor_Dezembro!J175:J176,RGPS_Valor_Dezembro!J101:J102))/1000000</f>
        <v>50.190999759971568</v>
      </c>
      <c r="L20" s="110">
        <f>(SUM(RGPS_Valor_Dezembro!K175:K176,RGPS_Valor_Dezembro!K101:K102))/1000000</f>
        <v>56.908799370010414</v>
      </c>
      <c r="M20" s="110">
        <f>(SUM(RGPS_Valor_Dezembro!L175:L176,RGPS_Valor_Dezembro!L101:L102))/1000000</f>
        <v>63.263691919998152</v>
      </c>
      <c r="N20" s="110">
        <f>(SUM(RGPS_Valor_Dezembro!M175:M176,RGPS_Valor_Dezembro!M101:M102))/1000000</f>
        <v>77.1860121799469</v>
      </c>
      <c r="O20" s="110">
        <f>(SUM(RGPS_Valor_Dezembro!N175:N176,RGPS_Valor_Dezembro!N101:N102))/1000000</f>
        <v>89.008672960052493</v>
      </c>
      <c r="P20" s="128">
        <v>100.3218086</v>
      </c>
      <c r="Q20" s="111">
        <f>(SUM(RGPS_Valor_Dezembro!O175:O176,RGPS_Valor_Dezembro!O101:O102))/1000000</f>
        <v>0.63964430999994304</v>
      </c>
      <c r="R20" s="112">
        <f>(SUM(RGPS_Valor_Dezembro!P175:P176,RGPS_Valor_Dezembro!P101:P102))/1000000</f>
        <v>0.86261200000000005</v>
      </c>
      <c r="S20" s="112">
        <f>(SUM(RGPS_Valor_Dezembro!Q175:Q176,RGPS_Valor_Dezembro!Q101:Q102))/1000000</f>
        <v>1.042983</v>
      </c>
      <c r="T20" s="112">
        <f>(SUM(RGPS_Valor_Dezembro!R175:R176,RGPS_Valor_Dezembro!R101:R102))/1000000</f>
        <v>1.3594520000000001</v>
      </c>
      <c r="U20" s="112">
        <f>(SUM(RGPS_Valor_Dezembro!S175:S176,RGPS_Valor_Dezembro!S101:S102))/1000000</f>
        <v>1.881630200000763</v>
      </c>
      <c r="V20" s="112">
        <f>(SUM(RGPS_Valor_Dezembro!T175:T176,RGPS_Valor_Dezembro!T101:T102))/1000000</f>
        <v>2.24703744999981</v>
      </c>
      <c r="W20" s="112">
        <f>(SUM(RGPS_Valor_Dezembro!U175:U176,RGPS_Valor_Dezembro!U101:U102))/1000000</f>
        <v>2.6883680699996901</v>
      </c>
      <c r="X20" s="112">
        <f>(SUM(RGPS_Valor_Dezembro!V175:V176,RGPS_Valor_Dezembro!V101:V102))/1000000</f>
        <v>3.2887442399997702</v>
      </c>
      <c r="Y20" s="112">
        <f>(SUM(RGPS_Valor_Dezembro!W175:W176,RGPS_Valor_Dezembro!W101:W102))/1000000</f>
        <v>3.9018202900009098</v>
      </c>
      <c r="Z20" s="112">
        <f>(SUM(RGPS_Valor_Dezembro!X175:X176,RGPS_Valor_Dezembro!X101:X102))/1000000</f>
        <v>4.5212775799980101</v>
      </c>
      <c r="AA20" s="112">
        <f>(SUM(RGPS_Valor_Dezembro!Y175:Y176,RGPS_Valor_Dezembro!Y101:Y102))/1000000</f>
        <v>5.5071243400001508</v>
      </c>
      <c r="AB20" s="112">
        <f>(SUM(RGPS_Valor_Dezembro!Z175:Z176,RGPS_Valor_Dezembro!Z101:Z102))/1000000</f>
        <v>6.4510215200004595</v>
      </c>
      <c r="AC20" s="112">
        <v>7.296739210000001</v>
      </c>
      <c r="AD20" s="109">
        <f>(SUM(RGPS_Valor_Dezembro!AA175:AA176,RGPS_Valor_Dezembro!AA101:AA102))/1000000</f>
        <v>19.273698830002267</v>
      </c>
      <c r="AE20" s="109">
        <f>(SUM(RGPS_Valor_Dezembro!AB175:AB176,RGPS_Valor_Dezembro!AB101:AB102))/1000000</f>
        <v>23.139357</v>
      </c>
      <c r="AF20" s="109">
        <f>(SUM(RGPS_Valor_Dezembro!AC175:AC176,RGPS_Valor_Dezembro!AC101:AC102))/1000000</f>
        <v>25.284137999999999</v>
      </c>
      <c r="AG20" s="109">
        <f>(SUM(RGPS_Valor_Dezembro!AD175:AD176,RGPS_Valor_Dezembro!AD101:AD102))/1000000</f>
        <v>30.16966</v>
      </c>
      <c r="AH20" s="109">
        <f>(SUM(RGPS_Valor_Dezembro!AE175:AE176,RGPS_Valor_Dezembro!AE101:AE102))/1000000</f>
        <v>36.957570320003519</v>
      </c>
      <c r="AI20" s="109">
        <f>(SUM(RGPS_Valor_Dezembro!AF175:AF176,RGPS_Valor_Dezembro!AF101:AF102))/1000000</f>
        <v>41.120591359982448</v>
      </c>
      <c r="AJ20" s="109">
        <f>(SUM(RGPS_Valor_Dezembro!AG175:AG176,RGPS_Valor_Dezembro!AG101:AG102))/1000000</f>
        <v>46.135731899978602</v>
      </c>
      <c r="AK20" s="109">
        <f>(SUM(RGPS_Valor_Dezembro!AH175:AH176,RGPS_Valor_Dezembro!AH101:AH102))/1000000</f>
        <v>53.479743999971411</v>
      </c>
      <c r="AL20" s="109">
        <f>(SUM(RGPS_Valor_Dezembro!AI175:AI176,RGPS_Valor_Dezembro!AI101:AI102))/1000000</f>
        <v>60.810619660011263</v>
      </c>
      <c r="AM20" s="109">
        <f>(SUM(RGPS_Valor_Dezembro!AJ175:AJ176,RGPS_Valor_Dezembro!AJ101:AJ102))/1000000</f>
        <v>67.78496949999618</v>
      </c>
      <c r="AN20" s="109">
        <f>(SUM(RGPS_Valor_Dezembro!AK175:AK176,RGPS_Valor_Dezembro!AK101:AK102))/1000000</f>
        <v>82.693136519946989</v>
      </c>
      <c r="AO20" s="109">
        <f>(SUM(RGPS_Valor_Dezembro!AL175:AL176,RGPS_Valor_Dezembro!AL101:AL102))/1000000</f>
        <v>95.459694480053003</v>
      </c>
      <c r="AP20" s="109">
        <f t="shared" si="0"/>
        <v>95.459694480053003</v>
      </c>
    </row>
    <row r="21" spans="1:43">
      <c r="B21" s="106"/>
      <c r="C21" s="37" t="s">
        <v>40</v>
      </c>
      <c r="D21" s="110">
        <f>(D19-D20)</f>
        <v>36.10201359000618</v>
      </c>
      <c r="E21" s="110">
        <f t="shared" ref="E21:AO21" si="6">(E19-E20)</f>
        <v>45.489160000000005</v>
      </c>
      <c r="F21" s="110">
        <f t="shared" si="6"/>
        <v>49.176291999999997</v>
      </c>
      <c r="G21" s="110">
        <f t="shared" si="6"/>
        <v>53.017234000000002</v>
      </c>
      <c r="H21" s="110">
        <f t="shared" si="6"/>
        <v>55.445222189996741</v>
      </c>
      <c r="I21" s="110">
        <f t="shared" si="6"/>
        <v>58.835558640000755</v>
      </c>
      <c r="J21" s="110">
        <f t="shared" si="6"/>
        <v>63.672379360005998</v>
      </c>
      <c r="K21" s="110">
        <f t="shared" si="6"/>
        <v>69.323979319970078</v>
      </c>
      <c r="L21" s="110">
        <f t="shared" si="6"/>
        <v>78.300946560017607</v>
      </c>
      <c r="M21" s="110">
        <f t="shared" si="6"/>
        <v>89.14184913000004</v>
      </c>
      <c r="N21" s="110">
        <f t="shared" si="6"/>
        <v>95.086851839992917</v>
      </c>
      <c r="O21" s="110">
        <f t="shared" si="6"/>
        <v>107.91214756998262</v>
      </c>
      <c r="P21" s="128">
        <f>P19-P20</f>
        <v>118.71157540000002</v>
      </c>
      <c r="Q21" s="111">
        <f t="shared" si="6"/>
        <v>0.10318292000004892</v>
      </c>
      <c r="R21" s="112">
        <f t="shared" si="6"/>
        <v>0.13311399999999995</v>
      </c>
      <c r="S21" s="112">
        <f t="shared" si="6"/>
        <v>0.14071400000000001</v>
      </c>
      <c r="T21" s="112">
        <f t="shared" si="6"/>
        <v>0.13888499999999993</v>
      </c>
      <c r="U21" s="112">
        <f t="shared" si="6"/>
        <v>0.11785117999994399</v>
      </c>
      <c r="V21" s="112">
        <f t="shared" si="6"/>
        <v>0.10633936000000022</v>
      </c>
      <c r="W21" s="112">
        <f t="shared" si="6"/>
        <v>0.10219033999997018</v>
      </c>
      <c r="X21" s="112">
        <f t="shared" si="6"/>
        <v>9.510173000003963E-2</v>
      </c>
      <c r="Y21" s="112">
        <f t="shared" si="6"/>
        <v>0.1005473400000505</v>
      </c>
      <c r="Z21" s="112">
        <f t="shared" si="6"/>
        <v>0.10664294000002084</v>
      </c>
      <c r="AA21" s="112">
        <f t="shared" si="6"/>
        <v>0.10633260999999905</v>
      </c>
      <c r="AB21" s="112">
        <f t="shared" si="6"/>
        <v>0.11178860999998097</v>
      </c>
      <c r="AC21" s="112">
        <f>AC19-AC20</f>
        <v>0.11624308000000028</v>
      </c>
      <c r="AD21" s="109">
        <f t="shared" si="6"/>
        <v>36.205196510006274</v>
      </c>
      <c r="AE21" s="109">
        <f t="shared" si="6"/>
        <v>45.62227399999999</v>
      </c>
      <c r="AF21" s="109">
        <f t="shared" si="6"/>
        <v>49.317006000000006</v>
      </c>
      <c r="AG21" s="109">
        <f t="shared" si="6"/>
        <v>53.156118999999997</v>
      </c>
      <c r="AH21" s="109">
        <f t="shared" si="6"/>
        <v>55.563073369996637</v>
      </c>
      <c r="AI21" s="109">
        <f t="shared" si="6"/>
        <v>58.941898000000755</v>
      </c>
      <c r="AJ21" s="109">
        <f t="shared" si="6"/>
        <v>63.774569700005692</v>
      </c>
      <c r="AK21" s="109">
        <f t="shared" si="6"/>
        <v>69.419081049970487</v>
      </c>
      <c r="AL21" s="109">
        <f t="shared" si="6"/>
        <v>78.401493900017925</v>
      </c>
      <c r="AM21" s="109">
        <f t="shared" si="6"/>
        <v>89.248492069999912</v>
      </c>
      <c r="AN21" s="109">
        <f t="shared" si="6"/>
        <v>95.193184449993737</v>
      </c>
      <c r="AO21" s="109">
        <f t="shared" si="6"/>
        <v>108.0239361799826</v>
      </c>
      <c r="AP21" s="109">
        <f t="shared" si="0"/>
        <v>108.0239361799826</v>
      </c>
    </row>
    <row r="22" spans="1:43" ht="17.25" customHeight="1">
      <c r="B22" s="106" t="s">
        <v>25</v>
      </c>
      <c r="C22" s="105" t="s">
        <v>3</v>
      </c>
      <c r="D22" s="110">
        <f>(SUM(RGPS_Valor_Dezembro!C89,RGPS_Valor_Dezembro!C108,RGPS_Valor_Dezembro!C123,RGPS_Valor_Dezembro!C188))/1000000</f>
        <v>69.284755160022897</v>
      </c>
      <c r="E22" s="110">
        <f>(SUM(RGPS_Valor_Dezembro!D89,RGPS_Valor_Dezembro!D108,RGPS_Valor_Dezembro!D123,RGPS_Valor_Dezembro!D188))/1000000</f>
        <v>29.672222999999999</v>
      </c>
      <c r="F22" s="110">
        <f>(SUM(RGPS_Valor_Dezembro!E89,RGPS_Valor_Dezembro!E108,RGPS_Valor_Dezembro!E123,RGPS_Valor_Dezembro!E188))/1000000</f>
        <v>25.356818000000001</v>
      </c>
      <c r="G22" s="110">
        <f>(SUM(RGPS_Valor_Dezembro!F89,RGPS_Valor_Dezembro!F108,RGPS_Valor_Dezembro!F123,RGPS_Valor_Dezembro!F188))/1000000</f>
        <v>26.348175999999999</v>
      </c>
      <c r="H22" s="110">
        <f>(SUM(RGPS_Valor_Dezembro!G89,RGPS_Valor_Dezembro!G108,RGPS_Valor_Dezembro!G123,RGPS_Valor_Dezembro!G188))/1000000</f>
        <v>28.900291200004624</v>
      </c>
      <c r="I22" s="110">
        <f>(SUM(RGPS_Valor_Dezembro!H89,RGPS_Valor_Dezembro!H108,RGPS_Valor_Dezembro!H123,RGPS_Valor_Dezembro!H188))/1000000</f>
        <v>33.945966570002383</v>
      </c>
      <c r="J22" s="110">
        <f>(SUM(RGPS_Valor_Dezembro!I89,RGPS_Valor_Dezembro!I108,RGPS_Valor_Dezembro!I123,RGPS_Valor_Dezembro!I188))/1000000</f>
        <v>40.808083660007853</v>
      </c>
      <c r="K22" s="110">
        <f>(SUM(RGPS_Valor_Dezembro!J89,RGPS_Valor_Dezembro!J108,RGPS_Valor_Dezembro!J123,RGPS_Valor_Dezembro!J188))/1000000</f>
        <v>55.035515449999181</v>
      </c>
      <c r="L22" s="110">
        <f>(SUM(RGPS_Valor_Dezembro!K89,RGPS_Valor_Dezembro!K108,RGPS_Valor_Dezembro!K123,RGPS_Valor_Dezembro!K188))/1000000</f>
        <v>62.940134969992755</v>
      </c>
      <c r="M22" s="110">
        <f>(SUM(RGPS_Valor_Dezembro!L89,RGPS_Valor_Dezembro!L108,RGPS_Valor_Dezembro!L123,RGPS_Valor_Dezembro!L188))/1000000</f>
        <v>71.807259830005663</v>
      </c>
      <c r="N22" s="110">
        <f>(SUM(RGPS_Valor_Dezembro!M89,RGPS_Valor_Dezembro!M108,RGPS_Valor_Dezembro!M123,RGPS_Valor_Dezembro!M188))/1000000</f>
        <v>88.698295860010234</v>
      </c>
      <c r="O22" s="110">
        <f>(SUM(RGPS_Valor_Dezembro!N89,RGPS_Valor_Dezembro!N108,RGPS_Valor_Dezembro!N123,RGPS_Valor_Dezembro!N188))/1000000</f>
        <v>100.83225810000555</v>
      </c>
      <c r="P22" s="128">
        <v>134.10625296000001</v>
      </c>
      <c r="Q22" s="111">
        <f>(SUM(RGPS_Valor_Dezembro!O89,RGPS_Valor_Dezembro!O108,RGPS_Valor_Dezembro!O123,RGPS_Valor_Dezembro!O188))/1000000</f>
        <v>5.2881394499998935</v>
      </c>
      <c r="R22" s="112">
        <f>(SUM(RGPS_Valor_Dezembro!P89,RGPS_Valor_Dezembro!P108,RGPS_Valor_Dezembro!P123,RGPS_Valor_Dezembro!P188))/1000000</f>
        <v>5.3727320000000001</v>
      </c>
      <c r="S22" s="112">
        <f>(SUM(RGPS_Valor_Dezembro!Q89,RGPS_Valor_Dezembro!Q108,RGPS_Valor_Dezembro!Q123,RGPS_Valor_Dezembro!Q188))/1000000</f>
        <v>5.6687180000000001</v>
      </c>
      <c r="T22" s="112">
        <f>(SUM(RGPS_Valor_Dezembro!R89,RGPS_Valor_Dezembro!R108,RGPS_Valor_Dezembro!R123,RGPS_Valor_Dezembro!R188))/1000000</f>
        <v>5.5924699999999996</v>
      </c>
      <c r="U22" s="112">
        <f>(SUM(RGPS_Valor_Dezembro!S89,RGPS_Valor_Dezembro!S108,RGPS_Valor_Dezembro!S123,RGPS_Valor_Dezembro!S188))/1000000</f>
        <v>6.2103851299999766</v>
      </c>
      <c r="V22" s="112">
        <f>(SUM(RGPS_Valor_Dezembro!T89,RGPS_Valor_Dezembro!T108,RGPS_Valor_Dezembro!T123,RGPS_Valor_Dezembro!T188))/1000000</f>
        <v>6.2702561699999508</v>
      </c>
      <c r="W22" s="112">
        <f>(SUM(RGPS_Valor_Dezembro!U89,RGPS_Valor_Dezembro!U108,RGPS_Valor_Dezembro!U123,RGPS_Valor_Dezembro!U188))/1000000</f>
        <v>7.8687956299999398</v>
      </c>
      <c r="X22" s="112">
        <f>(SUM(RGPS_Valor_Dezembro!V89,RGPS_Valor_Dezembro!V108,RGPS_Valor_Dezembro!V123,RGPS_Valor_Dezembro!V188))/1000000</f>
        <v>9.6756979300000197</v>
      </c>
      <c r="Y22" s="112">
        <f>(SUM(RGPS_Valor_Dezembro!W89,RGPS_Valor_Dezembro!W108,RGPS_Valor_Dezembro!W123,RGPS_Valor_Dezembro!W188))/1000000</f>
        <v>10.054061160000101</v>
      </c>
      <c r="Z22" s="112">
        <f>(SUM(RGPS_Valor_Dezembro!X89,RGPS_Valor_Dezembro!X108,RGPS_Valor_Dezembro!X123,RGPS_Valor_Dezembro!X188))/1000000</f>
        <v>9.4523726600000089</v>
      </c>
      <c r="AA22" s="112">
        <f>(SUM(RGPS_Valor_Dezembro!Y89,RGPS_Valor_Dezembro!Y108,RGPS_Valor_Dezembro!Y123,RGPS_Valor_Dezembro!Y188))/1000000</f>
        <v>10.688082969999879</v>
      </c>
      <c r="AB22" s="112">
        <f>(SUM(RGPS_Valor_Dezembro!Z89,RGPS_Valor_Dezembro!Z108,RGPS_Valor_Dezembro!Z123,RGPS_Valor_Dezembro!Z188))/1000000</f>
        <v>12.45366856000004</v>
      </c>
      <c r="AC22" s="112">
        <v>16.14369782</v>
      </c>
      <c r="AD22" s="109">
        <f>(SUM(RGPS_Valor_Dezembro!AA89,RGPS_Valor_Dezembro!AA108,RGPS_Valor_Dezembro!AA123,RGPS_Valor_Dezembro!AA188))/1000000</f>
        <v>74.572894610022729</v>
      </c>
      <c r="AE22" s="109">
        <f>(SUM(RGPS_Valor_Dezembro!AB89,RGPS_Valor_Dezembro!AB108,RGPS_Valor_Dezembro!AB123,RGPS_Valor_Dezembro!AB188))/1000000</f>
        <v>35.044955000000002</v>
      </c>
      <c r="AF22" s="109">
        <f>(SUM(RGPS_Valor_Dezembro!AC89,RGPS_Valor_Dezembro!AC108,RGPS_Valor_Dezembro!AC123,RGPS_Valor_Dezembro!AC188))/1000000</f>
        <v>31.025535999999999</v>
      </c>
      <c r="AG22" s="109">
        <f>(SUM(RGPS_Valor_Dezembro!AD89,RGPS_Valor_Dezembro!AD108,RGPS_Valor_Dezembro!AD123,RGPS_Valor_Dezembro!AD188))/1000000</f>
        <v>31.940646000000001</v>
      </c>
      <c r="AH22" s="109">
        <f>(SUM(RGPS_Valor_Dezembro!AE89,RGPS_Valor_Dezembro!AE108,RGPS_Valor_Dezembro!AE123,RGPS_Valor_Dezembro!AE188))/1000000</f>
        <v>35.110676330004601</v>
      </c>
      <c r="AI22" s="109">
        <f>(SUM(RGPS_Valor_Dezembro!AF89,RGPS_Valor_Dezembro!AF108,RGPS_Valor_Dezembro!AF123,RGPS_Valor_Dezembro!AF188))/1000000</f>
        <v>40.216222740002337</v>
      </c>
      <c r="AJ22" s="109">
        <f>(SUM(RGPS_Valor_Dezembro!AG89,RGPS_Valor_Dezembro!AG108,RGPS_Valor_Dezembro!AG123,RGPS_Valor_Dezembro!AG188))/1000000</f>
        <v>48.676879290007854</v>
      </c>
      <c r="AK22" s="109">
        <f>(SUM(RGPS_Valor_Dezembro!AH89,RGPS_Valor_Dezembro!AH108,RGPS_Valor_Dezembro!AH123,RGPS_Valor_Dezembro!AH188))/1000000</f>
        <v>64.711213379999279</v>
      </c>
      <c r="AL22" s="109">
        <f>(SUM(RGPS_Valor_Dezembro!AI89,RGPS_Valor_Dezembro!AI108,RGPS_Valor_Dezembro!AI123,RGPS_Valor_Dezembro!AI188))/1000000</f>
        <v>72.994196129992872</v>
      </c>
      <c r="AM22" s="109">
        <f>(SUM(RGPS_Valor_Dezembro!AJ89,RGPS_Valor_Dezembro!AJ108,RGPS_Valor_Dezembro!AJ123,RGPS_Valor_Dezembro!AJ188))/1000000</f>
        <v>81.259632490005657</v>
      </c>
      <c r="AN22" s="109">
        <f>(SUM(RGPS_Valor_Dezembro!AK89,RGPS_Valor_Dezembro!AK108,RGPS_Valor_Dezembro!AK123,RGPS_Valor_Dezembro!AK188))/1000000</f>
        <v>99.386378830010031</v>
      </c>
      <c r="AO22" s="109">
        <f>(SUM(RGPS_Valor_Dezembro!AL89,RGPS_Valor_Dezembro!AL108,RGPS_Valor_Dezembro!AL123,RGPS_Valor_Dezembro!AL188))/1000000</f>
        <v>113.28592666000566</v>
      </c>
      <c r="AP22" s="109">
        <f t="shared" si="0"/>
        <v>113.28592666000566</v>
      </c>
    </row>
    <row r="23" spans="1:43" ht="17.25" customHeight="1">
      <c r="B23" s="106"/>
      <c r="C23" s="37" t="s">
        <v>22</v>
      </c>
      <c r="D23" s="110">
        <f>(SUM(RGPS_Valor_Dezembro!C90:C91,RGPS_Valor_Dezembro!C109:C110,RGPS_Valor_Dezembro!C124:C125,RGPS_Valor_Dezembro!C189:C190))/1000000</f>
        <v>10.546322089998535</v>
      </c>
      <c r="E23" s="110">
        <f>(SUM(RGPS_Valor_Dezembro!D90:D91,RGPS_Valor_Dezembro!D109:D110,RGPS_Valor_Dezembro!D124:D125,RGPS_Valor_Dezembro!D189:D190))/1000000</f>
        <v>11.648491999999999</v>
      </c>
      <c r="F23" s="110">
        <f>(SUM(RGPS_Valor_Dezembro!E90:E91,RGPS_Valor_Dezembro!E109:E110,RGPS_Valor_Dezembro!E124:E125,RGPS_Valor_Dezembro!E189:E190))/1000000</f>
        <v>12.701229</v>
      </c>
      <c r="G23" s="110">
        <f>(SUM(RGPS_Valor_Dezembro!F90:F91,RGPS_Valor_Dezembro!F109:F110,RGPS_Valor_Dezembro!F124:F125,RGPS_Valor_Dezembro!F189:F190))/1000000</f>
        <v>13.729274999999999</v>
      </c>
      <c r="H23" s="110">
        <f>(SUM(RGPS_Valor_Dezembro!G90:G91,RGPS_Valor_Dezembro!G109:G110,RGPS_Valor_Dezembro!G124:G125,RGPS_Valor_Dezembro!G189:G190))/1000000</f>
        <v>16.076899000002328</v>
      </c>
      <c r="I23" s="110">
        <f>(SUM(RGPS_Valor_Dezembro!H90:H91,RGPS_Valor_Dezembro!H109:H110,RGPS_Valor_Dezembro!H124:H125,RGPS_Valor_Dezembro!H189:H190))/1000000</f>
        <v>18.062811370002031</v>
      </c>
      <c r="J23" s="110">
        <f>(SUM(RGPS_Valor_Dezembro!I90:I91,RGPS_Valor_Dezembro!I109:I110,RGPS_Valor_Dezembro!I124:I125,RGPS_Valor_Dezembro!I189:I190))/1000000</f>
        <v>21.262820250004737</v>
      </c>
      <c r="K23" s="110">
        <f>(SUM(RGPS_Valor_Dezembro!J90:J91,RGPS_Valor_Dezembro!J109:J110,RGPS_Valor_Dezembro!J124:J125,RGPS_Valor_Dezembro!J189:J190))/1000000</f>
        <v>29.065218179998816</v>
      </c>
      <c r="L23" s="110">
        <f>(SUM(RGPS_Valor_Dezembro!K90:K91,RGPS_Valor_Dezembro!K109:K110,RGPS_Valor_Dezembro!K124:K125,RGPS_Valor_Dezembro!K189:K190))/1000000</f>
        <v>32.596803949993792</v>
      </c>
      <c r="M23" s="110">
        <f>(SUM(RGPS_Valor_Dezembro!L90:L91,RGPS_Valor_Dezembro!L109:L110,RGPS_Valor_Dezembro!L124:L125,RGPS_Valor_Dezembro!L189:L190))/1000000</f>
        <v>32.795071069996133</v>
      </c>
      <c r="N23" s="110">
        <f>(SUM(RGPS_Valor_Dezembro!M90:M91,RGPS_Valor_Dezembro!M109:M110,RGPS_Valor_Dezembro!M124:M125,RGPS_Valor_Dezembro!M189:M190))/1000000</f>
        <v>46.588085920000822</v>
      </c>
      <c r="O23" s="110">
        <f>(SUM(RGPS_Valor_Dezembro!N90:N91,RGPS_Valor_Dezembro!N109:N110,RGPS_Valor_Dezembro!N124:N125,RGPS_Valor_Dezembro!N189:N190))/1000000</f>
        <v>62.418352990005225</v>
      </c>
      <c r="P23" s="128">
        <v>83.016006912412422</v>
      </c>
      <c r="Q23" s="111">
        <f>(SUM(RGPS_Valor_Dezembro!O90:O91,RGPS_Valor_Dezembro!O109:O110,RGPS_Valor_Dezembro!O124:O125,RGPS_Valor_Dezembro!O189:O190))/1000000</f>
        <v>5.0883726499999984</v>
      </c>
      <c r="R23" s="112">
        <f>(SUM(RGPS_Valor_Dezembro!P90:P91,RGPS_Valor_Dezembro!P109:P110,RGPS_Valor_Dezembro!P124:P125,RGPS_Valor_Dezembro!P189:P190))/1000000</f>
        <v>5.2148729999999999</v>
      </c>
      <c r="S23" s="112">
        <f>(SUM(RGPS_Valor_Dezembro!Q90:Q91,RGPS_Valor_Dezembro!Q109:Q110,RGPS_Valor_Dezembro!Q124:Q125,RGPS_Valor_Dezembro!Q189:Q190))/1000000</f>
        <v>5.4901140000000002</v>
      </c>
      <c r="T23" s="112">
        <f>(SUM(RGPS_Valor_Dezembro!R90:R91,RGPS_Valor_Dezembro!R109:R110,RGPS_Valor_Dezembro!R124:R125,RGPS_Valor_Dezembro!R189:R190))/1000000</f>
        <v>5.3868799999999997</v>
      </c>
      <c r="U23" s="112">
        <f>(SUM(RGPS_Valor_Dezembro!S90:S91,RGPS_Valor_Dezembro!S109:S110,RGPS_Valor_Dezembro!S124:S125,RGPS_Valor_Dezembro!S189:S190))/1000000</f>
        <v>6.0247080699999929</v>
      </c>
      <c r="V23" s="112">
        <f>(SUM(RGPS_Valor_Dezembro!T90:T91,RGPS_Valor_Dezembro!T109:T110,RGPS_Valor_Dezembro!T124:T125,RGPS_Valor_Dezembro!T189:T190))/1000000</f>
        <v>6.0724794900000099</v>
      </c>
      <c r="W23" s="112">
        <f>(SUM(RGPS_Valor_Dezembro!U90:U91,RGPS_Valor_Dezembro!U109:U110,RGPS_Valor_Dezembro!U124:U125,RGPS_Valor_Dezembro!U189:U190))/1000000</f>
        <v>7.6731407200000286</v>
      </c>
      <c r="X23" s="112">
        <f>(SUM(RGPS_Valor_Dezembro!V90:V91,RGPS_Valor_Dezembro!V109:V110,RGPS_Valor_Dezembro!V124:V125,RGPS_Valor_Dezembro!V189:V190))/1000000</f>
        <v>9.4605940800000425</v>
      </c>
      <c r="Y23" s="112">
        <f>(SUM(RGPS_Valor_Dezembro!W90:W91,RGPS_Valor_Dezembro!W109:W110,RGPS_Valor_Dezembro!W124:W125,RGPS_Valor_Dezembro!W189:W190))/1000000</f>
        <v>9.8021415299999717</v>
      </c>
      <c r="Z23" s="112">
        <f>(SUM(RGPS_Valor_Dezembro!X90:X91,RGPS_Valor_Dezembro!X109:X110,RGPS_Valor_Dezembro!X124:X125,RGPS_Valor_Dezembro!X189:X190))/1000000</f>
        <v>9.1993964800000185</v>
      </c>
      <c r="AA23" s="112">
        <f>(SUM(RGPS_Valor_Dezembro!Y90:Y91,RGPS_Valor_Dezembro!Y109:Y110,RGPS_Valor_Dezembro!Y124:Y125,RGPS_Valor_Dezembro!Y189:Y190))/1000000</f>
        <v>10.476025179999947</v>
      </c>
      <c r="AB23" s="112">
        <f>(SUM(RGPS_Valor_Dezembro!Z90:Z91,RGPS_Valor_Dezembro!Z109:Z110,RGPS_Valor_Dezembro!Z124:Z125,RGPS_Valor_Dezembro!Z189:Z190))/1000000</f>
        <v>12.252992829999924</v>
      </c>
      <c r="AC23" s="112">
        <v>15.883561754123381</v>
      </c>
      <c r="AD23" s="109">
        <f>(SUM(RGPS_Valor_Dezembro!AA90:AA91,RGPS_Valor_Dezembro!AA109:AA110,RGPS_Valor_Dezembro!AA124:AA125,RGPS_Valor_Dezembro!AA189:AA190))/1000000</f>
        <v>15.634694739998533</v>
      </c>
      <c r="AE23" s="109">
        <f>(SUM(RGPS_Valor_Dezembro!AB90:AB91,RGPS_Valor_Dezembro!AB109:AB110,RGPS_Valor_Dezembro!AB124:AB125,RGPS_Valor_Dezembro!AB189:AB190))/1000000</f>
        <v>16.863365000000002</v>
      </c>
      <c r="AF23" s="109">
        <f>(SUM(RGPS_Valor_Dezembro!AC90:AC91,RGPS_Valor_Dezembro!AC109:AC110,RGPS_Valor_Dezembro!AC124:AC125,RGPS_Valor_Dezembro!AC189:AC190))/1000000</f>
        <v>18.191343</v>
      </c>
      <c r="AG23" s="109">
        <f>(SUM(RGPS_Valor_Dezembro!AD90:AD91,RGPS_Valor_Dezembro!AD109:AD110,RGPS_Valor_Dezembro!AD124:AD125,RGPS_Valor_Dezembro!AD189:AD190))/1000000</f>
        <v>19.116154999999999</v>
      </c>
      <c r="AH23" s="109">
        <f>(SUM(RGPS_Valor_Dezembro!AE90:AE91,RGPS_Valor_Dezembro!AE109:AE110,RGPS_Valor_Dezembro!AE124:AE125,RGPS_Valor_Dezembro!AE189:AE190))/1000000</f>
        <v>22.10160707000232</v>
      </c>
      <c r="AI23" s="109">
        <f>(SUM(RGPS_Valor_Dezembro!AF90:AF91,RGPS_Valor_Dezembro!AF109:AF110,RGPS_Valor_Dezembro!AF124:AF125,RGPS_Valor_Dezembro!AF189:AF190))/1000000</f>
        <v>24.135290860002041</v>
      </c>
      <c r="AJ23" s="109">
        <f>(SUM(RGPS_Valor_Dezembro!AG90:AG91,RGPS_Valor_Dezembro!AG109:AG110,RGPS_Valor_Dezembro!AG124:AG125,RGPS_Valor_Dezembro!AG189:AG190))/1000000</f>
        <v>28.935960970004764</v>
      </c>
      <c r="AK23" s="109">
        <f>(SUM(RGPS_Valor_Dezembro!AH90:AH91,RGPS_Valor_Dezembro!AH109:AH110,RGPS_Valor_Dezembro!AH124:AH125,RGPS_Valor_Dezembro!AH189:AH190))/1000000</f>
        <v>38.525812259998858</v>
      </c>
      <c r="AL23" s="109">
        <f>(SUM(RGPS_Valor_Dezembro!AI90:AI91,RGPS_Valor_Dezembro!AI109:AI110,RGPS_Valor_Dezembro!AI124:AI125,RGPS_Valor_Dezembro!AI189:AI190))/1000000</f>
        <v>42.398945479993763</v>
      </c>
      <c r="AM23" s="109">
        <f>(SUM(RGPS_Valor_Dezembro!AJ90:AJ91,RGPS_Valor_Dezembro!AJ109:AJ110,RGPS_Valor_Dezembro!AJ124:AJ125,RGPS_Valor_Dezembro!AJ189:AJ190))/1000000</f>
        <v>41.994467549996152</v>
      </c>
      <c r="AN23" s="109">
        <f>(SUM(RGPS_Valor_Dezembro!AK90:AK91,RGPS_Valor_Dezembro!AK109:AK110,RGPS_Valor_Dezembro!AK124:AK125,RGPS_Valor_Dezembro!AK189:AK190))/1000000</f>
        <v>57.064111100000765</v>
      </c>
      <c r="AO23" s="109">
        <f>(SUM(RGPS_Valor_Dezembro!AL90:AL91,RGPS_Valor_Dezembro!AL109:AL110,RGPS_Valor_Dezembro!AL124:AL125,RGPS_Valor_Dezembro!AL189:AL190))/1000000</f>
        <v>74.671345820005129</v>
      </c>
      <c r="AP23" s="109">
        <f t="shared" si="0"/>
        <v>74.671345820005129</v>
      </c>
    </row>
    <row r="24" spans="1:43" ht="17.25" customHeight="1">
      <c r="B24" s="106"/>
      <c r="C24" s="37" t="s">
        <v>40</v>
      </c>
      <c r="D24" s="110">
        <f>(D22-D23)</f>
        <v>58.738433070024364</v>
      </c>
      <c r="E24" s="110">
        <f t="shared" ref="E24:AO24" si="7">(E22-E23)</f>
        <v>18.023730999999998</v>
      </c>
      <c r="F24" s="110">
        <f t="shared" si="7"/>
        <v>12.655589000000001</v>
      </c>
      <c r="G24" s="110">
        <f t="shared" si="7"/>
        <v>12.618900999999999</v>
      </c>
      <c r="H24" s="110">
        <f t="shared" si="7"/>
        <v>12.823392200002296</v>
      </c>
      <c r="I24" s="110">
        <f t="shared" si="7"/>
        <v>15.883155200000353</v>
      </c>
      <c r="J24" s="110">
        <f t="shared" si="7"/>
        <v>19.545263410003116</v>
      </c>
      <c r="K24" s="110">
        <f t="shared" si="7"/>
        <v>25.970297270000366</v>
      </c>
      <c r="L24" s="110">
        <f t="shared" si="7"/>
        <v>30.343331019998963</v>
      </c>
      <c r="M24" s="110">
        <f t="shared" si="7"/>
        <v>39.012188760009529</v>
      </c>
      <c r="N24" s="110">
        <f t="shared" si="7"/>
        <v>42.110209940009412</v>
      </c>
      <c r="O24" s="110">
        <f t="shared" si="7"/>
        <v>38.413905110000321</v>
      </c>
      <c r="P24" s="128">
        <f>P22-P23</f>
        <v>51.090246047587584</v>
      </c>
      <c r="Q24" s="111">
        <f t="shared" si="7"/>
        <v>0.19976679999989511</v>
      </c>
      <c r="R24" s="112">
        <f t="shared" si="7"/>
        <v>0.15785900000000019</v>
      </c>
      <c r="S24" s="112">
        <f t="shared" si="7"/>
        <v>0.17860399999999998</v>
      </c>
      <c r="T24" s="112">
        <f t="shared" si="7"/>
        <v>0.20558999999999994</v>
      </c>
      <c r="U24" s="112">
        <f t="shared" si="7"/>
        <v>0.18567705999998374</v>
      </c>
      <c r="V24" s="112">
        <f t="shared" si="7"/>
        <v>0.19777667999994097</v>
      </c>
      <c r="W24" s="112">
        <f t="shared" si="7"/>
        <v>0.1956549099999112</v>
      </c>
      <c r="X24" s="112">
        <f t="shared" si="7"/>
        <v>0.21510384999997711</v>
      </c>
      <c r="Y24" s="112">
        <f t="shared" si="7"/>
        <v>0.2519196300001294</v>
      </c>
      <c r="Z24" s="112">
        <f t="shared" si="7"/>
        <v>0.25297617999999034</v>
      </c>
      <c r="AA24" s="112">
        <f t="shared" si="7"/>
        <v>0.21205778999993186</v>
      </c>
      <c r="AB24" s="112">
        <f t="shared" si="7"/>
        <v>0.20067573000011585</v>
      </c>
      <c r="AC24" s="112">
        <f>AC22-AC23</f>
        <v>0.26013606587661897</v>
      </c>
      <c r="AD24" s="109">
        <f t="shared" si="7"/>
        <v>58.938199870024192</v>
      </c>
      <c r="AE24" s="109">
        <f t="shared" si="7"/>
        <v>18.18159</v>
      </c>
      <c r="AF24" s="109">
        <f t="shared" si="7"/>
        <v>12.834192999999999</v>
      </c>
      <c r="AG24" s="109">
        <f t="shared" si="7"/>
        <v>12.824491000000002</v>
      </c>
      <c r="AH24" s="109">
        <f t="shared" si="7"/>
        <v>13.009069260002281</v>
      </c>
      <c r="AI24" s="109">
        <f t="shared" si="7"/>
        <v>16.080931880000296</v>
      </c>
      <c r="AJ24" s="109">
        <f t="shared" si="7"/>
        <v>19.74091832000309</v>
      </c>
      <c r="AK24" s="109">
        <f t="shared" si="7"/>
        <v>26.185401120000421</v>
      </c>
      <c r="AL24" s="109">
        <f t="shared" si="7"/>
        <v>30.595250649999109</v>
      </c>
      <c r="AM24" s="109">
        <f t="shared" si="7"/>
        <v>39.265164940009505</v>
      </c>
      <c r="AN24" s="109">
        <f t="shared" si="7"/>
        <v>42.322267730009266</v>
      </c>
      <c r="AO24" s="109">
        <f t="shared" si="7"/>
        <v>38.614580840000528</v>
      </c>
      <c r="AP24" s="109">
        <f t="shared" si="0"/>
        <v>38.614580840000528</v>
      </c>
    </row>
    <row r="25" spans="1:43" ht="17.25" customHeight="1">
      <c r="B25" s="106" t="s">
        <v>37</v>
      </c>
      <c r="C25" s="105" t="s">
        <v>3</v>
      </c>
      <c r="D25" s="110">
        <f>(RGPS_Valor_Dezembro!C4)/1000000</f>
        <v>5538.60380349973</v>
      </c>
      <c r="E25" s="110">
        <f>(RGPS_Valor_Dezembro!D4)/1000000</f>
        <v>6939.7438780000002</v>
      </c>
      <c r="F25" s="110">
        <f>(RGPS_Valor_Dezembro!E4)/1000000</f>
        <v>7955.5971019999997</v>
      </c>
      <c r="G25" s="110">
        <f>(RGPS_Valor_Dezembro!F4)/1000000</f>
        <v>8978.4297700000006</v>
      </c>
      <c r="H25" s="110">
        <f>(RGPS_Valor_Dezembro!G4)/1000000</f>
        <v>9936.0209118018211</v>
      </c>
      <c r="I25" s="110">
        <f>(RGPS_Valor_Dezembro!H4)/1000000</f>
        <v>10651.2576308801</v>
      </c>
      <c r="J25" s="110">
        <f>(RGPS_Valor_Dezembro!I4)/1000000</f>
        <v>11737.978987870702</v>
      </c>
      <c r="K25" s="110">
        <f>(RGPS_Valor_Dezembro!J4)/1000000</f>
        <v>13100.363749729901</v>
      </c>
      <c r="L25" s="110">
        <f>(RGPS_Valor_Dezembro!K4)/1000000</f>
        <v>14837.8521625095</v>
      </c>
      <c r="M25" s="110">
        <f>(RGPS_Valor_Dezembro!L4)/1000000</f>
        <v>16458.4153244503</v>
      </c>
      <c r="N25" s="110">
        <f>(RGPS_Valor_Dezembro!M4)/1000000</f>
        <v>18514.522490220003</v>
      </c>
      <c r="O25" s="110">
        <f>(RGPS_Valor_Dezembro!N4)/1000000</f>
        <v>20790.808482788503</v>
      </c>
      <c r="P25" s="128">
        <f>SUM(P4,P7,P10,P13,P16,P19,P22)</f>
        <v>21874.46978326</v>
      </c>
      <c r="Q25" s="111">
        <f>(RGPS_Valor_Dezembro!O4)/1000000</f>
        <v>1328.1487161099999</v>
      </c>
      <c r="R25" s="112">
        <f>(RGPS_Valor_Dezembro!P4)/1000000</f>
        <v>1638.53801</v>
      </c>
      <c r="S25" s="112">
        <f>(RGPS_Valor_Dezembro!Q4)/1000000</f>
        <v>1823.082394</v>
      </c>
      <c r="T25" s="112">
        <f>(RGPS_Valor_Dezembro!R4)/1000000</f>
        <v>2154.4022420000001</v>
      </c>
      <c r="U25" s="112">
        <f>(RGPS_Valor_Dezembro!S4)/1000000</f>
        <v>2568.7484759200001</v>
      </c>
      <c r="V25" s="112">
        <f>(RGPS_Valor_Dezembro!T4)/1000000</f>
        <v>2859.1832475700003</v>
      </c>
      <c r="W25" s="112">
        <f>(RGPS_Valor_Dezembro!U4)/1000000</f>
        <v>3220.4649153800001</v>
      </c>
      <c r="X25" s="112">
        <f>(RGPS_Valor_Dezembro!V4)/1000000</f>
        <v>3724.4033707799804</v>
      </c>
      <c r="Y25" s="112">
        <f>(RGPS_Valor_Dezembro!W4)/1000000</f>
        <v>4211.16213075001</v>
      </c>
      <c r="Z25" s="112">
        <f>(RGPS_Valor_Dezembro!X4)/1000000</f>
        <v>4616.0678933999798</v>
      </c>
      <c r="AA25" s="112">
        <f>(RGPS_Valor_Dezembro!Y4)/1000000</f>
        <v>5411.8681012300103</v>
      </c>
      <c r="AB25" s="112">
        <f>(RGPS_Valor_Dezembro!Z4)/1000000</f>
        <v>6068.39029776999</v>
      </c>
      <c r="AC25" s="112">
        <f>SUM(AC4,AC7,AC10,AC13,AC16,AC19,AC22)</f>
        <v>6637.958944</v>
      </c>
      <c r="AD25" s="109">
        <f>(RGPS_Valor_Dezembro!AA4)/1000000</f>
        <v>6866.7525196097204</v>
      </c>
      <c r="AE25" s="109">
        <f>(RGPS_Valor_Dezembro!AB4)/1000000</f>
        <v>8578.2818879999995</v>
      </c>
      <c r="AF25" s="109">
        <f>(RGPS_Valor_Dezembro!AC4)/1000000</f>
        <v>9778.6794960000007</v>
      </c>
      <c r="AG25" s="109">
        <f>(RGPS_Valor_Dezembro!AD4)/1000000</f>
        <v>11132.832012000001</v>
      </c>
      <c r="AH25" s="109">
        <f>(RGPS_Valor_Dezembro!AE4)/1000000</f>
        <v>12504.769387721801</v>
      </c>
      <c r="AI25" s="109">
        <f>(RGPS_Valor_Dezembro!AF4)/1000000</f>
        <v>13510.440878450099</v>
      </c>
      <c r="AJ25" s="109">
        <f>(RGPS_Valor_Dezembro!AG4)/1000000</f>
        <v>14958.4439032507</v>
      </c>
      <c r="AK25" s="109">
        <f>(RGPS_Valor_Dezembro!AH4)/1000000</f>
        <v>16824.767120509801</v>
      </c>
      <c r="AL25" s="109">
        <f>(RGPS_Valor_Dezembro!AI4)/1000000</f>
        <v>19049.014293259497</v>
      </c>
      <c r="AM25" s="109">
        <f>(RGPS_Valor_Dezembro!AJ4)/1000000</f>
        <v>21074.483217850298</v>
      </c>
      <c r="AN25" s="109">
        <f>(RGPS_Valor_Dezembro!AK4)/1000000</f>
        <v>23926.390591449999</v>
      </c>
      <c r="AO25" s="109">
        <f>(RGPS_Valor_Dezembro!AL4)/1000000</f>
        <v>26859.198780558498</v>
      </c>
      <c r="AP25" s="109">
        <f t="shared" si="0"/>
        <v>26859.198780558498</v>
      </c>
      <c r="AQ25" s="99">
        <v>12</v>
      </c>
    </row>
    <row r="26" spans="1:43" ht="17.25" customHeight="1">
      <c r="B26" s="106"/>
      <c r="C26" s="37" t="s">
        <v>22</v>
      </c>
      <c r="D26" s="110">
        <f>(SUM(RGPS_Valor_Dezembro!C5:C6))/1000000</f>
        <v>995.35332827001901</v>
      </c>
      <c r="E26" s="110">
        <f>(SUM(RGPS_Valor_Dezembro!D5:D6))/1000000</f>
        <v>1201.6922959999999</v>
      </c>
      <c r="F26" s="110">
        <f>(SUM(RGPS_Valor_Dezembro!E5:E6))/1000000</f>
        <v>1374.0929900000001</v>
      </c>
      <c r="G26" s="110">
        <f>(SUM(RGPS_Valor_Dezembro!F5:F6))/1000000</f>
        <v>1701.373525</v>
      </c>
      <c r="H26" s="110">
        <f>(SUM(RGPS_Valor_Dezembro!G5:G6))/1000000</f>
        <v>2125.2676781700152</v>
      </c>
      <c r="I26" s="110">
        <f>(SUM(RGPS_Valor_Dezembro!H5:H6))/1000000</f>
        <v>2401.2332980100123</v>
      </c>
      <c r="J26" s="110">
        <f>(SUM(RGPS_Valor_Dezembro!I5:I6))/1000000</f>
        <v>2729.3652236800149</v>
      </c>
      <c r="K26" s="110">
        <f>(SUM(RGPS_Valor_Dezembro!J5:J6))/1000000</f>
        <v>3235.190286919943</v>
      </c>
      <c r="L26" s="110">
        <f>(SUM(RGPS_Valor_Dezembro!K5:K6))/1000000</f>
        <v>3650.3825456200098</v>
      </c>
      <c r="M26" s="110">
        <f>(SUM(RGPS_Valor_Dezembro!L5:L6))/1000000</f>
        <v>3970.829325029988</v>
      </c>
      <c r="N26" s="110">
        <f>(SUM(RGPS_Valor_Dezembro!M5:M6))/1000000</f>
        <v>4924.3138888700159</v>
      </c>
      <c r="O26" s="110">
        <f>(SUM(RGPS_Valor_Dezembro!N5:N6))/1000000</f>
        <v>5585.8798227100096</v>
      </c>
      <c r="P26" s="128">
        <f>SUM(P5,P8,P11,P14,P17,P20,P23)</f>
        <v>6152.3493197224125</v>
      </c>
      <c r="Q26" s="111">
        <f>(SUM(RGPS_Valor_Dezembro!O5:O6))/1000000</f>
        <v>1294.4394773900001</v>
      </c>
      <c r="R26" s="112">
        <f>(SUM(RGPS_Valor_Dezembro!P5:P6))/1000000</f>
        <v>1595.9864030000001</v>
      </c>
      <c r="S26" s="112">
        <f>(SUM(RGPS_Valor_Dezembro!Q5:Q6))/1000000</f>
        <v>1777.935007</v>
      </c>
      <c r="T26" s="112">
        <f>(SUM(RGPS_Valor_Dezembro!R5:R6))/1000000</f>
        <v>2109.3070640000001</v>
      </c>
      <c r="U26" s="112">
        <f>(SUM(RGPS_Valor_Dezembro!S5:S6))/1000000</f>
        <v>2525.397713039999</v>
      </c>
      <c r="V26" s="112">
        <f>(SUM(RGPS_Valor_Dezembro!T5:T6))/1000000</f>
        <v>2815.8778333099972</v>
      </c>
      <c r="W26" s="112">
        <f>(SUM(RGPS_Valor_Dezembro!U5:U6))/1000000</f>
        <v>3175.6046425799964</v>
      </c>
      <c r="X26" s="112">
        <f>(SUM(RGPS_Valor_Dezembro!V5:V6))/1000000</f>
        <v>3677.9672022199966</v>
      </c>
      <c r="Y26" s="112">
        <f>(SUM(RGPS_Valor_Dezembro!W5:W6))/1000000</f>
        <v>4159.6596833100011</v>
      </c>
      <c r="Z26" s="112">
        <f>(SUM(RGPS_Valor_Dezembro!X5:X6))/1000000</f>
        <v>4559.9346961499923</v>
      </c>
      <c r="AA26" s="112">
        <f>(SUM(RGPS_Valor_Dezembro!Y5:Y6))/1000000</f>
        <v>5355.5722577500019</v>
      </c>
      <c r="AB26" s="112">
        <f>(SUM(RGPS_Valor_Dezembro!Z5:Z6))/1000000</f>
        <v>6007.5445557799967</v>
      </c>
      <c r="AC26" s="112">
        <f>SUM(AC5,AC8,AC11,AC14,AC17,AC20,AC23)</f>
        <v>6572.0804522441222</v>
      </c>
      <c r="AD26" s="109">
        <f>(SUM(RGPS_Valor_Dezembro!AA5:AA6))/1000000</f>
        <v>2289.792805660019</v>
      </c>
      <c r="AE26" s="109">
        <f>(SUM(RGPS_Valor_Dezembro!AB5:AB6))/1000000</f>
        <v>2797.6786990000001</v>
      </c>
      <c r="AF26" s="109">
        <f>(SUM(RGPS_Valor_Dezembro!AC5:AC6))/1000000</f>
        <v>3152.0279970000001</v>
      </c>
      <c r="AG26" s="109">
        <f>(SUM(RGPS_Valor_Dezembro!AD5:AD6))/1000000</f>
        <v>3810.6805890000001</v>
      </c>
      <c r="AH26" s="109">
        <f>(SUM(RGPS_Valor_Dezembro!AE5:AE6))/1000000</f>
        <v>4650.6653912100146</v>
      </c>
      <c r="AI26" s="109">
        <f>(SUM(RGPS_Valor_Dezembro!AF5:AF6))/1000000</f>
        <v>5217.111131320009</v>
      </c>
      <c r="AJ26" s="109">
        <f>(SUM(RGPS_Valor_Dezembro!AG5:AG6))/1000000</f>
        <v>5904.9698662600113</v>
      </c>
      <c r="AK26" s="109">
        <f>(SUM(RGPS_Valor_Dezembro!AH5:AH6))/1000000</f>
        <v>6913.1574891399396</v>
      </c>
      <c r="AL26" s="109">
        <f>(SUM(RGPS_Valor_Dezembro!AI5:AI6))/1000000</f>
        <v>7810.0422289300104</v>
      </c>
      <c r="AM26" s="109">
        <f>(SUM(RGPS_Valor_Dezembro!AJ5:AJ6))/1000000</f>
        <v>8530.7640211799808</v>
      </c>
      <c r="AN26" s="109">
        <f>(SUM(RGPS_Valor_Dezembro!AK5:AK6))/1000000</f>
        <v>10279.886146620016</v>
      </c>
      <c r="AO26" s="109">
        <f>(SUM(RGPS_Valor_Dezembro!AL5:AL6))/1000000</f>
        <v>11593.424378490008</v>
      </c>
      <c r="AP26" s="109">
        <f t="shared" si="0"/>
        <v>11593.424378490008</v>
      </c>
    </row>
    <row r="27" spans="1:43" ht="17.25" customHeight="1">
      <c r="B27" s="107"/>
      <c r="C27" s="39" t="s">
        <v>40</v>
      </c>
      <c r="D27" s="113">
        <f>(D25-D26)</f>
        <v>4543.2504752297109</v>
      </c>
      <c r="E27" s="113">
        <f t="shared" ref="E27:AO27" si="8">(E25-E26)</f>
        <v>5738.0515820000001</v>
      </c>
      <c r="F27" s="113">
        <f t="shared" si="8"/>
        <v>6581.5041119999996</v>
      </c>
      <c r="G27" s="113">
        <f t="shared" si="8"/>
        <v>7277.0562450000007</v>
      </c>
      <c r="H27" s="113">
        <f t="shared" si="8"/>
        <v>7810.7532336318054</v>
      </c>
      <c r="I27" s="113">
        <f t="shared" si="8"/>
        <v>8250.0243328700872</v>
      </c>
      <c r="J27" s="113">
        <f t="shared" si="8"/>
        <v>9008.6137641906862</v>
      </c>
      <c r="K27" s="113">
        <f t="shared" si="8"/>
        <v>9865.1734628099584</v>
      </c>
      <c r="L27" s="113">
        <f t="shared" si="8"/>
        <v>11187.46961688949</v>
      </c>
      <c r="M27" s="113">
        <f t="shared" si="8"/>
        <v>12487.585999420311</v>
      </c>
      <c r="N27" s="113">
        <f t="shared" si="8"/>
        <v>13590.208601349987</v>
      </c>
      <c r="O27" s="113">
        <f t="shared" si="8"/>
        <v>15204.928660078494</v>
      </c>
      <c r="P27" s="132">
        <f>P25-P26</f>
        <v>15722.120463537587</v>
      </c>
      <c r="Q27" s="114">
        <f t="shared" si="8"/>
        <v>33.709238719999803</v>
      </c>
      <c r="R27" s="115">
        <f t="shared" si="8"/>
        <v>42.551606999999876</v>
      </c>
      <c r="S27" s="115">
        <f t="shared" si="8"/>
        <v>45.147386999999981</v>
      </c>
      <c r="T27" s="115">
        <f t="shared" si="8"/>
        <v>45.095178000000033</v>
      </c>
      <c r="U27" s="115">
        <f t="shared" si="8"/>
        <v>43.350762880001184</v>
      </c>
      <c r="V27" s="115">
        <f t="shared" si="8"/>
        <v>43.30541426000309</v>
      </c>
      <c r="W27" s="115">
        <f t="shared" si="8"/>
        <v>44.860272800003713</v>
      </c>
      <c r="X27" s="115">
        <f t="shared" si="8"/>
        <v>46.436168559983798</v>
      </c>
      <c r="Y27" s="115">
        <f t="shared" si="8"/>
        <v>51.502447440008837</v>
      </c>
      <c r="Z27" s="115">
        <f t="shared" si="8"/>
        <v>56.133197249987461</v>
      </c>
      <c r="AA27" s="115">
        <f t="shared" si="8"/>
        <v>56.295843480008443</v>
      </c>
      <c r="AB27" s="115">
        <f t="shared" si="8"/>
        <v>60.845741989993257</v>
      </c>
      <c r="AC27" s="115">
        <f>AC25-AC26</f>
        <v>65.878491755877803</v>
      </c>
      <c r="AD27" s="116">
        <f t="shared" si="8"/>
        <v>4576.9597139497018</v>
      </c>
      <c r="AE27" s="116">
        <f t="shared" si="8"/>
        <v>5780.6031889999995</v>
      </c>
      <c r="AF27" s="116">
        <f t="shared" si="8"/>
        <v>6626.6514990000005</v>
      </c>
      <c r="AG27" s="116">
        <f t="shared" si="8"/>
        <v>7322.1514230000012</v>
      </c>
      <c r="AH27" s="116">
        <f t="shared" si="8"/>
        <v>7854.1039965117861</v>
      </c>
      <c r="AI27" s="116">
        <f t="shared" si="8"/>
        <v>8293.3297471300903</v>
      </c>
      <c r="AJ27" s="116">
        <f t="shared" si="8"/>
        <v>9053.4740369906885</v>
      </c>
      <c r="AK27" s="116">
        <f t="shared" si="8"/>
        <v>9911.6096313698617</v>
      </c>
      <c r="AL27" s="116">
        <f t="shared" si="8"/>
        <v>11238.972064329486</v>
      </c>
      <c r="AM27" s="116">
        <f t="shared" si="8"/>
        <v>12543.719196670318</v>
      </c>
      <c r="AN27" s="116">
        <f t="shared" si="8"/>
        <v>13646.504444829983</v>
      </c>
      <c r="AO27" s="116">
        <f t="shared" si="8"/>
        <v>15265.77440206849</v>
      </c>
      <c r="AP27" s="116">
        <f t="shared" si="0"/>
        <v>15265.77440206849</v>
      </c>
    </row>
    <row r="29" spans="1:43" s="100" customFormat="1" ht="15" customHeight="1">
      <c r="A29" s="101"/>
      <c r="B29" s="101" t="s">
        <v>92</v>
      </c>
      <c r="C29" s="101"/>
      <c r="D29" s="632" t="s">
        <v>102</v>
      </c>
      <c r="E29" s="632"/>
      <c r="F29" s="632"/>
      <c r="G29" s="632"/>
      <c r="H29" s="632"/>
      <c r="I29" s="632"/>
      <c r="J29" s="632"/>
      <c r="K29" s="632"/>
      <c r="L29" s="632"/>
      <c r="M29" s="632"/>
      <c r="N29" s="632"/>
      <c r="O29" s="632"/>
      <c r="P29" s="130"/>
      <c r="Q29" s="632" t="s">
        <v>56</v>
      </c>
      <c r="R29" s="632"/>
      <c r="S29" s="632"/>
      <c r="T29" s="632"/>
      <c r="U29" s="632"/>
      <c r="V29" s="632"/>
      <c r="W29" s="632"/>
      <c r="X29" s="632"/>
      <c r="Y29" s="632"/>
      <c r="Z29" s="632"/>
      <c r="AA29" s="632"/>
      <c r="AB29" s="632"/>
      <c r="AC29" s="127"/>
      <c r="AD29" s="632" t="s">
        <v>37</v>
      </c>
      <c r="AE29" s="632"/>
      <c r="AF29" s="632"/>
      <c r="AG29" s="632"/>
      <c r="AH29" s="632"/>
      <c r="AI29" s="632"/>
      <c r="AJ29" s="632"/>
      <c r="AK29" s="632"/>
      <c r="AL29" s="632"/>
      <c r="AM29" s="632"/>
      <c r="AN29" s="632"/>
      <c r="AO29" s="632"/>
    </row>
    <row r="30" spans="1:43" ht="27" customHeight="1">
      <c r="B30" s="108"/>
      <c r="C30" s="108"/>
      <c r="D30" s="36">
        <v>2002</v>
      </c>
      <c r="E30" s="36">
        <v>2003</v>
      </c>
      <c r="F30" s="36">
        <v>2004</v>
      </c>
      <c r="G30" s="36">
        <v>2005</v>
      </c>
      <c r="H30" s="36">
        <v>2006</v>
      </c>
      <c r="I30" s="36">
        <v>2007</v>
      </c>
      <c r="J30" s="36">
        <v>2008</v>
      </c>
      <c r="K30" s="36">
        <v>2009</v>
      </c>
      <c r="L30" s="36">
        <v>2010</v>
      </c>
      <c r="M30" s="36">
        <v>2011</v>
      </c>
      <c r="N30" s="36">
        <v>2012</v>
      </c>
      <c r="O30" s="36">
        <v>2013</v>
      </c>
      <c r="P30" s="131">
        <v>2014</v>
      </c>
      <c r="Q30" s="36">
        <v>2002</v>
      </c>
      <c r="R30" s="36">
        <v>2003</v>
      </c>
      <c r="S30" s="36">
        <v>2004</v>
      </c>
      <c r="T30" s="36">
        <v>2005</v>
      </c>
      <c r="U30" s="36">
        <v>2006</v>
      </c>
      <c r="V30" s="36">
        <v>2007</v>
      </c>
      <c r="W30" s="36">
        <v>2008</v>
      </c>
      <c r="X30" s="36">
        <v>2009</v>
      </c>
      <c r="Y30" s="36">
        <v>2010</v>
      </c>
      <c r="Z30" s="36">
        <v>2011</v>
      </c>
      <c r="AA30" s="36">
        <v>2012</v>
      </c>
      <c r="AB30" s="36">
        <v>2013</v>
      </c>
      <c r="AC30" s="36">
        <v>2014</v>
      </c>
      <c r="AD30" s="36">
        <v>2002</v>
      </c>
      <c r="AE30" s="36">
        <v>2003</v>
      </c>
      <c r="AF30" s="36">
        <v>2004</v>
      </c>
      <c r="AG30" s="36">
        <v>2005</v>
      </c>
      <c r="AH30" s="36">
        <v>2006</v>
      </c>
      <c r="AI30" s="36">
        <v>2007</v>
      </c>
      <c r="AJ30" s="36">
        <v>2008</v>
      </c>
      <c r="AK30" s="36">
        <v>2009</v>
      </c>
      <c r="AL30" s="36">
        <v>2010</v>
      </c>
      <c r="AM30" s="36">
        <v>2011</v>
      </c>
      <c r="AN30" s="36">
        <v>2012</v>
      </c>
      <c r="AO30" s="36">
        <v>2013</v>
      </c>
      <c r="AP30" s="36">
        <v>2014</v>
      </c>
    </row>
    <row r="31" spans="1:43">
      <c r="B31" s="106" t="s">
        <v>53</v>
      </c>
      <c r="C31" s="37" t="s">
        <v>22</v>
      </c>
      <c r="D31" s="117">
        <f>D5/D4</f>
        <v>2.8044677418157801E-2</v>
      </c>
      <c r="E31" s="118">
        <f t="shared" ref="E31:AO31" si="9">E5/E4</f>
        <v>2.8117577794043332E-2</v>
      </c>
      <c r="F31" s="118">
        <f t="shared" si="9"/>
        <v>2.9562003366065157E-2</v>
      </c>
      <c r="G31" s="118">
        <f t="shared" si="9"/>
        <v>3.564230339704607E-2</v>
      </c>
      <c r="H31" s="118">
        <f t="shared" si="9"/>
        <v>4.5247220740624892E-2</v>
      </c>
      <c r="I31" s="118">
        <f t="shared" si="9"/>
        <v>5.0860641209436827E-2</v>
      </c>
      <c r="J31" s="118">
        <f t="shared" si="9"/>
        <v>5.6475461648651172E-2</v>
      </c>
      <c r="K31" s="118">
        <f t="shared" si="9"/>
        <v>6.5375818768578411E-2</v>
      </c>
      <c r="L31" s="118">
        <f t="shared" si="9"/>
        <v>6.8923914548605608E-2</v>
      </c>
      <c r="M31" s="118">
        <f t="shared" si="9"/>
        <v>6.9844902974122602E-2</v>
      </c>
      <c r="N31" s="118">
        <f t="shared" si="9"/>
        <v>8.2549501605132178E-2</v>
      </c>
      <c r="O31" s="118">
        <f t="shared" si="9"/>
        <v>8.7511368743418652E-2</v>
      </c>
      <c r="P31" s="118">
        <f>P5/P4</f>
        <v>0.10117196633523065</v>
      </c>
      <c r="Q31" s="119">
        <f t="shared" si="9"/>
        <v>0.12529339952254459</v>
      </c>
      <c r="R31" s="120">
        <f t="shared" si="9"/>
        <v>0.12223859681670377</v>
      </c>
      <c r="S31" s="120">
        <f t="shared" si="9"/>
        <v>0.12887685752199296</v>
      </c>
      <c r="T31" s="120">
        <f t="shared" si="9"/>
        <v>0.1717142447017318</v>
      </c>
      <c r="U31" s="120">
        <f t="shared" si="9"/>
        <v>0.22672678388427667</v>
      </c>
      <c r="V31" s="120">
        <f t="shared" si="9"/>
        <v>0.26280652528813847</v>
      </c>
      <c r="W31" s="120">
        <f t="shared" si="9"/>
        <v>0.29858209965400273</v>
      </c>
      <c r="X31" s="120">
        <f t="shared" si="9"/>
        <v>0.35709786110463709</v>
      </c>
      <c r="Y31" s="120">
        <f t="shared" si="9"/>
        <v>0.37801282084301513</v>
      </c>
      <c r="Z31" s="120">
        <f t="shared" si="9"/>
        <v>0.39299974882252819</v>
      </c>
      <c r="AA31" s="120">
        <f t="shared" si="9"/>
        <v>0.4506443890897025</v>
      </c>
      <c r="AB31" s="120">
        <f t="shared" si="9"/>
        <v>0.47751356376354698</v>
      </c>
      <c r="AC31" s="120">
        <f>AC5/AC4</f>
        <v>0.49387910838634508</v>
      </c>
      <c r="AD31" s="121">
        <f t="shared" si="9"/>
        <v>2.8158894884436115E-2</v>
      </c>
      <c r="AE31" s="121">
        <f t="shared" si="9"/>
        <v>2.8232501110552959E-2</v>
      </c>
      <c r="AF31" s="121">
        <f t="shared" si="9"/>
        <v>2.9689419203168421E-2</v>
      </c>
      <c r="AG31" s="121">
        <f t="shared" si="9"/>
        <v>3.5836775555136549E-2</v>
      </c>
      <c r="AH31" s="121">
        <f t="shared" si="9"/>
        <v>4.5537066539871808E-2</v>
      </c>
      <c r="AI31" s="121">
        <f t="shared" si="9"/>
        <v>5.1212182893431601E-2</v>
      </c>
      <c r="AJ31" s="121">
        <f t="shared" si="9"/>
        <v>5.6897083928204431E-2</v>
      </c>
      <c r="AK31" s="121">
        <f t="shared" si="9"/>
        <v>6.5916533904611052E-2</v>
      </c>
      <c r="AL31" s="121">
        <f t="shared" si="9"/>
        <v>6.9514536617340333E-2</v>
      </c>
      <c r="AM31" s="121">
        <f t="shared" si="9"/>
        <v>7.046826467614159E-2</v>
      </c>
      <c r="AN31" s="121">
        <f t="shared" si="9"/>
        <v>8.3281019224917832E-2</v>
      </c>
      <c r="AO31" s="121">
        <f t="shared" si="9"/>
        <v>8.830008610606227E-2</v>
      </c>
      <c r="AP31" s="121">
        <f>AP5/AP4</f>
        <v>8.830008610606227E-2</v>
      </c>
    </row>
    <row r="32" spans="1:43">
      <c r="B32" s="106"/>
      <c r="C32" s="37" t="s">
        <v>40</v>
      </c>
      <c r="D32" s="117">
        <f>1-D31</f>
        <v>0.97195532258184225</v>
      </c>
      <c r="E32" s="118">
        <f t="shared" ref="E32:AO32" si="10">1-E31</f>
        <v>0.97188242220595666</v>
      </c>
      <c r="F32" s="118">
        <f t="shared" si="10"/>
        <v>0.97043799663393482</v>
      </c>
      <c r="G32" s="118">
        <f t="shared" si="10"/>
        <v>0.9643576966029539</v>
      </c>
      <c r="H32" s="118">
        <f t="shared" si="10"/>
        <v>0.95475277925937507</v>
      </c>
      <c r="I32" s="118">
        <f t="shared" si="10"/>
        <v>0.94913935879056321</v>
      </c>
      <c r="J32" s="118">
        <f t="shared" si="10"/>
        <v>0.94352453835134886</v>
      </c>
      <c r="K32" s="118">
        <f t="shared" si="10"/>
        <v>0.93462418123142155</v>
      </c>
      <c r="L32" s="118">
        <f t="shared" si="10"/>
        <v>0.93107608545139442</v>
      </c>
      <c r="M32" s="118">
        <f t="shared" si="10"/>
        <v>0.9301550970258774</v>
      </c>
      <c r="N32" s="118">
        <f t="shared" si="10"/>
        <v>0.91745049839486781</v>
      </c>
      <c r="O32" s="118">
        <f t="shared" si="10"/>
        <v>0.91248863125658131</v>
      </c>
      <c r="P32" s="118">
        <f>1-P31</f>
        <v>0.89882803366476938</v>
      </c>
      <c r="Q32" s="119">
        <f t="shared" si="10"/>
        <v>0.87470660047745541</v>
      </c>
      <c r="R32" s="120">
        <f t="shared" si="10"/>
        <v>0.87776140318329621</v>
      </c>
      <c r="S32" s="120">
        <f t="shared" si="10"/>
        <v>0.87112314247800704</v>
      </c>
      <c r="T32" s="120">
        <f t="shared" si="10"/>
        <v>0.8282857552982682</v>
      </c>
      <c r="U32" s="120">
        <f t="shared" si="10"/>
        <v>0.77327321611572331</v>
      </c>
      <c r="V32" s="120">
        <f t="shared" si="10"/>
        <v>0.73719347471186158</v>
      </c>
      <c r="W32" s="120">
        <f t="shared" si="10"/>
        <v>0.70141790034599727</v>
      </c>
      <c r="X32" s="120">
        <f t="shared" si="10"/>
        <v>0.64290213889536285</v>
      </c>
      <c r="Y32" s="120">
        <f t="shared" si="10"/>
        <v>0.62198717915698487</v>
      </c>
      <c r="Z32" s="120">
        <f t="shared" si="10"/>
        <v>0.60700025117747181</v>
      </c>
      <c r="AA32" s="120">
        <f t="shared" si="10"/>
        <v>0.5493556109102975</v>
      </c>
      <c r="AB32" s="120">
        <f t="shared" si="10"/>
        <v>0.52248643623645297</v>
      </c>
      <c r="AC32" s="120">
        <f>1-AC31</f>
        <v>0.50612089161365492</v>
      </c>
      <c r="AD32" s="121">
        <f t="shared" si="10"/>
        <v>0.97184110511556387</v>
      </c>
      <c r="AE32" s="121">
        <f t="shared" si="10"/>
        <v>0.97176749888944702</v>
      </c>
      <c r="AF32" s="121">
        <f t="shared" si="10"/>
        <v>0.97031058079683152</v>
      </c>
      <c r="AG32" s="121">
        <f t="shared" si="10"/>
        <v>0.96416322444486346</v>
      </c>
      <c r="AH32" s="121">
        <f t="shared" si="10"/>
        <v>0.95446293346012823</v>
      </c>
      <c r="AI32" s="121">
        <f t="shared" si="10"/>
        <v>0.94878781710656845</v>
      </c>
      <c r="AJ32" s="121">
        <f t="shared" si="10"/>
        <v>0.94310291607179553</v>
      </c>
      <c r="AK32" s="121">
        <f t="shared" si="10"/>
        <v>0.93408346609538895</v>
      </c>
      <c r="AL32" s="121">
        <f t="shared" si="10"/>
        <v>0.93048546338265969</v>
      </c>
      <c r="AM32" s="121">
        <f t="shared" si="10"/>
        <v>0.92953173532385835</v>
      </c>
      <c r="AN32" s="121">
        <f t="shared" si="10"/>
        <v>0.91671898077508218</v>
      </c>
      <c r="AO32" s="121">
        <f t="shared" si="10"/>
        <v>0.91169991389393767</v>
      </c>
      <c r="AP32" s="121">
        <f>1-AP31</f>
        <v>0.91169991389393767</v>
      </c>
    </row>
    <row r="33" spans="2:42">
      <c r="B33" s="106" t="s">
        <v>48</v>
      </c>
      <c r="C33" s="37" t="s">
        <v>22</v>
      </c>
      <c r="D33" s="117">
        <f>D8/D7</f>
        <v>0.35349429580925146</v>
      </c>
      <c r="E33" s="118">
        <f t="shared" ref="E33:AO33" si="11">E8/E7</f>
        <v>0.34955178429737899</v>
      </c>
      <c r="F33" s="118">
        <f t="shared" si="11"/>
        <v>0.3655513545062361</v>
      </c>
      <c r="G33" s="118">
        <f t="shared" si="11"/>
        <v>0.39703942330177799</v>
      </c>
      <c r="H33" s="118">
        <f t="shared" si="11"/>
        <v>0.44057280040019176</v>
      </c>
      <c r="I33" s="118">
        <f t="shared" si="11"/>
        <v>0.45878503277429095</v>
      </c>
      <c r="J33" s="118">
        <f t="shared" si="11"/>
        <v>0.46974834441490948</v>
      </c>
      <c r="K33" s="118">
        <f t="shared" si="11"/>
        <v>0.49193341747447761</v>
      </c>
      <c r="L33" s="118">
        <f t="shared" si="11"/>
        <v>0.4954708752929271</v>
      </c>
      <c r="M33" s="118">
        <f t="shared" si="11"/>
        <v>0.49125854142119502</v>
      </c>
      <c r="N33" s="118">
        <f t="shared" si="11"/>
        <v>0.523847718267483</v>
      </c>
      <c r="O33" s="118">
        <f t="shared" si="11"/>
        <v>0.53120564553607141</v>
      </c>
      <c r="P33" s="118">
        <f>P8/P7</f>
        <v>0.53100305728649844</v>
      </c>
      <c r="Q33" s="119">
        <f t="shared" si="11"/>
        <v>0.98942131259324162</v>
      </c>
      <c r="R33" s="120">
        <f t="shared" si="11"/>
        <v>0.98926124434371998</v>
      </c>
      <c r="S33" s="120">
        <f t="shared" si="11"/>
        <v>0.99021162695113707</v>
      </c>
      <c r="T33" s="120">
        <f t="shared" si="11"/>
        <v>0.99131010376578643</v>
      </c>
      <c r="U33" s="120">
        <f t="shared" si="11"/>
        <v>0.99266961336803128</v>
      </c>
      <c r="V33" s="120">
        <f t="shared" si="11"/>
        <v>0.99315914251152926</v>
      </c>
      <c r="W33" s="120">
        <f t="shared" si="11"/>
        <v>0.99355122614923241</v>
      </c>
      <c r="X33" s="120">
        <f t="shared" si="11"/>
        <v>0.99413070092019784</v>
      </c>
      <c r="Y33" s="120">
        <f t="shared" si="11"/>
        <v>0.99419901891202134</v>
      </c>
      <c r="Z33" s="120">
        <f t="shared" si="11"/>
        <v>0.99413140181360815</v>
      </c>
      <c r="AA33" s="120">
        <f t="shared" si="11"/>
        <v>0.9947598604964929</v>
      </c>
      <c r="AB33" s="120">
        <f t="shared" si="11"/>
        <v>0.99487821825574729</v>
      </c>
      <c r="AC33" s="120">
        <f>AC8/AC7</f>
        <v>0.99475595168946895</v>
      </c>
      <c r="AD33" s="121">
        <f t="shared" si="11"/>
        <v>0.74974213925601574</v>
      </c>
      <c r="AE33" s="121">
        <f t="shared" si="11"/>
        <v>0.74173405829137473</v>
      </c>
      <c r="AF33" s="121">
        <f t="shared" si="11"/>
        <v>0.74077777310355797</v>
      </c>
      <c r="AG33" s="121">
        <f t="shared" si="11"/>
        <v>0.7562898323924605</v>
      </c>
      <c r="AH33" s="121">
        <f t="shared" si="11"/>
        <v>0.77930029310009397</v>
      </c>
      <c r="AI33" s="121">
        <f t="shared" si="11"/>
        <v>0.78624835122913039</v>
      </c>
      <c r="AJ33" s="121">
        <f t="shared" si="11"/>
        <v>0.78884305257198439</v>
      </c>
      <c r="AK33" s="121">
        <f t="shared" si="11"/>
        <v>0.79693705847463236</v>
      </c>
      <c r="AL33" s="121">
        <f t="shared" si="11"/>
        <v>0.79670484337650016</v>
      </c>
      <c r="AM33" s="121">
        <f t="shared" si="11"/>
        <v>0.79169118308193276</v>
      </c>
      <c r="AN33" s="121">
        <f t="shared" si="11"/>
        <v>0.80525165261085008</v>
      </c>
      <c r="AO33" s="121">
        <f t="shared" si="11"/>
        <v>0.80512990408087026</v>
      </c>
      <c r="AP33" s="121">
        <f>AP8/AP7</f>
        <v>0.80512990408087026</v>
      </c>
    </row>
    <row r="34" spans="2:42">
      <c r="B34" s="106"/>
      <c r="C34" s="37" t="s">
        <v>40</v>
      </c>
      <c r="D34" s="117">
        <f>1-D33</f>
        <v>0.64650570419074849</v>
      </c>
      <c r="E34" s="118">
        <f t="shared" ref="E34:AO34" si="12">1-E33</f>
        <v>0.65044821570262101</v>
      </c>
      <c r="F34" s="118">
        <f t="shared" si="12"/>
        <v>0.6344486454937639</v>
      </c>
      <c r="G34" s="118">
        <f t="shared" si="12"/>
        <v>0.60296057669822201</v>
      </c>
      <c r="H34" s="118">
        <f t="shared" si="12"/>
        <v>0.55942719959980824</v>
      </c>
      <c r="I34" s="118">
        <f t="shared" si="12"/>
        <v>0.54121496722570905</v>
      </c>
      <c r="J34" s="118">
        <f t="shared" si="12"/>
        <v>0.53025165558509046</v>
      </c>
      <c r="K34" s="118">
        <f t="shared" si="12"/>
        <v>0.50806658252552239</v>
      </c>
      <c r="L34" s="118">
        <f t="shared" si="12"/>
        <v>0.5045291247070729</v>
      </c>
      <c r="M34" s="118">
        <f t="shared" si="12"/>
        <v>0.50874145857880504</v>
      </c>
      <c r="N34" s="118">
        <f t="shared" si="12"/>
        <v>0.476152281732517</v>
      </c>
      <c r="O34" s="118">
        <f t="shared" si="12"/>
        <v>0.46879435446392859</v>
      </c>
      <c r="P34" s="118">
        <f>1-P33</f>
        <v>0.46899694271350156</v>
      </c>
      <c r="Q34" s="119">
        <f t="shared" si="12"/>
        <v>1.057868740675838E-2</v>
      </c>
      <c r="R34" s="120">
        <f t="shared" si="12"/>
        <v>1.0738755656280019E-2</v>
      </c>
      <c r="S34" s="120">
        <f t="shared" si="12"/>
        <v>9.7883730488629306E-3</v>
      </c>
      <c r="T34" s="120">
        <f t="shared" si="12"/>
        <v>8.6898962342135677E-3</v>
      </c>
      <c r="U34" s="120">
        <f t="shared" si="12"/>
        <v>7.3303866319687216E-3</v>
      </c>
      <c r="V34" s="120">
        <f t="shared" si="12"/>
        <v>6.8408574884707418E-3</v>
      </c>
      <c r="W34" s="120">
        <f t="shared" si="12"/>
        <v>6.4487738507675862E-3</v>
      </c>
      <c r="X34" s="120">
        <f t="shared" si="12"/>
        <v>5.8692990798021594E-3</v>
      </c>
      <c r="Y34" s="120">
        <f t="shared" si="12"/>
        <v>5.8009810879786627E-3</v>
      </c>
      <c r="Z34" s="120">
        <f t="shared" si="12"/>
        <v>5.868598186391849E-3</v>
      </c>
      <c r="AA34" s="120">
        <f t="shared" si="12"/>
        <v>5.2401395035071019E-3</v>
      </c>
      <c r="AB34" s="120">
        <f t="shared" si="12"/>
        <v>5.1217817442527069E-3</v>
      </c>
      <c r="AC34" s="120">
        <f>1-AC33</f>
        <v>5.2440483105310465E-3</v>
      </c>
      <c r="AD34" s="121">
        <f t="shared" si="12"/>
        <v>0.25025786074398426</v>
      </c>
      <c r="AE34" s="121">
        <f t="shared" si="12"/>
        <v>0.25826594170862527</v>
      </c>
      <c r="AF34" s="121">
        <f t="shared" si="12"/>
        <v>0.25922222689644203</v>
      </c>
      <c r="AG34" s="121">
        <f t="shared" si="12"/>
        <v>0.2437101676075395</v>
      </c>
      <c r="AH34" s="121">
        <f t="shared" si="12"/>
        <v>0.22069970689990603</v>
      </c>
      <c r="AI34" s="121">
        <f t="shared" si="12"/>
        <v>0.21375164877086961</v>
      </c>
      <c r="AJ34" s="121">
        <f t="shared" si="12"/>
        <v>0.21115694742801561</v>
      </c>
      <c r="AK34" s="121">
        <f t="shared" si="12"/>
        <v>0.20306294152536764</v>
      </c>
      <c r="AL34" s="121">
        <f t="shared" si="12"/>
        <v>0.20329515662349984</v>
      </c>
      <c r="AM34" s="121">
        <f t="shared" si="12"/>
        <v>0.20830881691806724</v>
      </c>
      <c r="AN34" s="121">
        <f t="shared" si="12"/>
        <v>0.19474834738914992</v>
      </c>
      <c r="AO34" s="121">
        <f t="shared" si="12"/>
        <v>0.19487009591912974</v>
      </c>
      <c r="AP34" s="121">
        <f>1-AP33</f>
        <v>0.19487009591912974</v>
      </c>
    </row>
    <row r="35" spans="2:42">
      <c r="B35" s="106" t="s">
        <v>23</v>
      </c>
      <c r="C35" s="37" t="s">
        <v>22</v>
      </c>
      <c r="D35" s="117">
        <f>D11/D10</f>
        <v>0.40644799607745824</v>
      </c>
      <c r="E35" s="118">
        <f t="shared" ref="E35:AO35" si="13">E11/E10</f>
        <v>0.36676208080622014</v>
      </c>
      <c r="F35" s="118">
        <f t="shared" si="13"/>
        <v>0.33953395745437925</v>
      </c>
      <c r="G35" s="118">
        <f t="shared" si="13"/>
        <v>0.34003372375480856</v>
      </c>
      <c r="H35" s="118">
        <f t="shared" si="13"/>
        <v>0.36027138050322371</v>
      </c>
      <c r="I35" s="118">
        <f t="shared" si="13"/>
        <v>0.3691625206658713</v>
      </c>
      <c r="J35" s="118">
        <f t="shared" si="13"/>
        <v>0.36386318404588935</v>
      </c>
      <c r="K35" s="118">
        <f t="shared" si="13"/>
        <v>0.36933494172528175</v>
      </c>
      <c r="L35" s="118">
        <f t="shared" si="13"/>
        <v>0.35742790195305607</v>
      </c>
      <c r="M35" s="118">
        <f t="shared" si="13"/>
        <v>0.3433447227794113</v>
      </c>
      <c r="N35" s="118">
        <f t="shared" si="13"/>
        <v>0.36610811489272582</v>
      </c>
      <c r="O35" s="118">
        <f t="shared" si="13"/>
        <v>0.35650345808615502</v>
      </c>
      <c r="P35" s="118">
        <f>P11/P10</f>
        <v>0.35101767511941739</v>
      </c>
      <c r="Q35" s="119">
        <f t="shared" si="13"/>
        <v>0.92832394087994741</v>
      </c>
      <c r="R35" s="120">
        <f t="shared" si="13"/>
        <v>0.91750144292905833</v>
      </c>
      <c r="S35" s="120">
        <f t="shared" si="13"/>
        <v>0.91645576895610881</v>
      </c>
      <c r="T35" s="120">
        <f t="shared" si="13"/>
        <v>0.92599694167591162</v>
      </c>
      <c r="U35" s="120">
        <f t="shared" si="13"/>
        <v>0.94012905410801018</v>
      </c>
      <c r="V35" s="120">
        <f t="shared" si="13"/>
        <v>0.94589328338480749</v>
      </c>
      <c r="W35" s="120">
        <f t="shared" si="13"/>
        <v>0.95119929357936162</v>
      </c>
      <c r="X35" s="120">
        <f t="shared" si="13"/>
        <v>0.95758680281259123</v>
      </c>
      <c r="Y35" s="120">
        <f t="shared" si="13"/>
        <v>0.95979721458679101</v>
      </c>
      <c r="Z35" s="120">
        <f t="shared" si="13"/>
        <v>0.96091049972155074</v>
      </c>
      <c r="AA35" s="120">
        <f t="shared" si="13"/>
        <v>0.96759874789505873</v>
      </c>
      <c r="AB35" s="120">
        <f t="shared" si="13"/>
        <v>0.96965433054467298</v>
      </c>
      <c r="AC35" s="120">
        <f>AC11/AC10</f>
        <v>0.97125693267333957</v>
      </c>
      <c r="AD35" s="121">
        <f t="shared" si="13"/>
        <v>0.46935132278071862</v>
      </c>
      <c r="AE35" s="121">
        <f t="shared" si="13"/>
        <v>0.42963675663013723</v>
      </c>
      <c r="AF35" s="121">
        <f t="shared" si="13"/>
        <v>0.40118041973644808</v>
      </c>
      <c r="AG35" s="121">
        <f t="shared" si="13"/>
        <v>0.40068464570320411</v>
      </c>
      <c r="AH35" s="121">
        <f t="shared" si="13"/>
        <v>0.42059627920914139</v>
      </c>
      <c r="AI35" s="121">
        <f t="shared" si="13"/>
        <v>0.42832123058030114</v>
      </c>
      <c r="AJ35" s="121">
        <f t="shared" si="13"/>
        <v>0.42239078335270469</v>
      </c>
      <c r="AK35" s="121">
        <f t="shared" si="13"/>
        <v>0.42736432416036491</v>
      </c>
      <c r="AL35" s="121">
        <f t="shared" si="13"/>
        <v>0.41571200622302318</v>
      </c>
      <c r="AM35" s="121">
        <f t="shared" si="13"/>
        <v>0.40158541000803594</v>
      </c>
      <c r="AN35" s="121">
        <f t="shared" si="13"/>
        <v>0.42384318281737837</v>
      </c>
      <c r="AO35" s="121">
        <f t="shared" si="13"/>
        <v>0.41467193090519117</v>
      </c>
      <c r="AP35" s="121">
        <f>AP11/AP10</f>
        <v>0.41467193090519117</v>
      </c>
    </row>
    <row r="36" spans="2:42">
      <c r="B36" s="106"/>
      <c r="C36" s="37" t="s">
        <v>40</v>
      </c>
      <c r="D36" s="117">
        <f>1-D35</f>
        <v>0.5935520039225417</v>
      </c>
      <c r="E36" s="118">
        <f t="shared" ref="E36:AO36" si="14">1-E35</f>
        <v>0.63323791919377981</v>
      </c>
      <c r="F36" s="118">
        <f t="shared" si="14"/>
        <v>0.6604660425456208</v>
      </c>
      <c r="G36" s="118">
        <f t="shared" si="14"/>
        <v>0.65996627624519144</v>
      </c>
      <c r="H36" s="118">
        <f t="shared" si="14"/>
        <v>0.63972861949677629</v>
      </c>
      <c r="I36" s="118">
        <f t="shared" si="14"/>
        <v>0.6308374793341287</v>
      </c>
      <c r="J36" s="118">
        <f t="shared" si="14"/>
        <v>0.63613681595411065</v>
      </c>
      <c r="K36" s="118">
        <f t="shared" si="14"/>
        <v>0.63066505827471819</v>
      </c>
      <c r="L36" s="118">
        <f t="shared" si="14"/>
        <v>0.64257209804694393</v>
      </c>
      <c r="M36" s="118">
        <f t="shared" si="14"/>
        <v>0.6566552772205887</v>
      </c>
      <c r="N36" s="118">
        <f t="shared" si="14"/>
        <v>0.63389188510727412</v>
      </c>
      <c r="O36" s="118">
        <f t="shared" si="14"/>
        <v>0.64349654191384498</v>
      </c>
      <c r="P36" s="118">
        <f>1-P35</f>
        <v>0.64898232488058261</v>
      </c>
      <c r="Q36" s="119">
        <f t="shared" si="14"/>
        <v>7.1676059120052593E-2</v>
      </c>
      <c r="R36" s="120">
        <f t="shared" si="14"/>
        <v>8.2498557070941669E-2</v>
      </c>
      <c r="S36" s="120">
        <f t="shared" si="14"/>
        <v>8.3544231043891193E-2</v>
      </c>
      <c r="T36" s="120">
        <f t="shared" si="14"/>
        <v>7.4003058324088378E-2</v>
      </c>
      <c r="U36" s="120">
        <f t="shared" si="14"/>
        <v>5.9870945891989824E-2</v>
      </c>
      <c r="V36" s="120">
        <f t="shared" si="14"/>
        <v>5.4106716615192507E-2</v>
      </c>
      <c r="W36" s="120">
        <f t="shared" si="14"/>
        <v>4.8800706420638384E-2</v>
      </c>
      <c r="X36" s="120">
        <f t="shared" si="14"/>
        <v>4.2413197187408769E-2</v>
      </c>
      <c r="Y36" s="120">
        <f t="shared" si="14"/>
        <v>4.0202785413208986E-2</v>
      </c>
      <c r="Z36" s="120">
        <f t="shared" si="14"/>
        <v>3.9089500278449263E-2</v>
      </c>
      <c r="AA36" s="120">
        <f t="shared" si="14"/>
        <v>3.2401252104941269E-2</v>
      </c>
      <c r="AB36" s="120">
        <f t="shared" si="14"/>
        <v>3.0345669455327018E-2</v>
      </c>
      <c r="AC36" s="120">
        <f>1-AC35</f>
        <v>2.8743067326660432E-2</v>
      </c>
      <c r="AD36" s="121">
        <f t="shared" si="14"/>
        <v>0.53064867721928133</v>
      </c>
      <c r="AE36" s="121">
        <f t="shared" si="14"/>
        <v>0.57036324336986277</v>
      </c>
      <c r="AF36" s="121">
        <f t="shared" si="14"/>
        <v>0.59881958026355186</v>
      </c>
      <c r="AG36" s="121">
        <f t="shared" si="14"/>
        <v>0.59931535429679594</v>
      </c>
      <c r="AH36" s="121">
        <f t="shared" si="14"/>
        <v>0.57940372079085867</v>
      </c>
      <c r="AI36" s="121">
        <f t="shared" si="14"/>
        <v>0.57167876941969886</v>
      </c>
      <c r="AJ36" s="121">
        <f t="shared" si="14"/>
        <v>0.57760921664729525</v>
      </c>
      <c r="AK36" s="121">
        <f t="shared" si="14"/>
        <v>0.57263567583963515</v>
      </c>
      <c r="AL36" s="121">
        <f t="shared" si="14"/>
        <v>0.58428799377697682</v>
      </c>
      <c r="AM36" s="121">
        <f t="shared" si="14"/>
        <v>0.59841458999196406</v>
      </c>
      <c r="AN36" s="121">
        <f t="shared" si="14"/>
        <v>0.57615681718262168</v>
      </c>
      <c r="AO36" s="121">
        <f t="shared" si="14"/>
        <v>0.58532806909480883</v>
      </c>
      <c r="AP36" s="121">
        <f>1-AP35</f>
        <v>0.58532806909480883</v>
      </c>
    </row>
    <row r="37" spans="2:42">
      <c r="B37" s="106" t="s">
        <v>24</v>
      </c>
      <c r="C37" s="37" t="s">
        <v>22</v>
      </c>
      <c r="D37" s="117">
        <f>D14/D13</f>
        <v>0.31278358925356553</v>
      </c>
      <c r="E37" s="118">
        <f t="shared" ref="E37:AO37" si="15">E14/E13</f>
        <v>0.30088881992761096</v>
      </c>
      <c r="F37" s="118">
        <f t="shared" si="15"/>
        <v>0.29078852120736209</v>
      </c>
      <c r="G37" s="118">
        <f t="shared" si="15"/>
        <v>0.31122698153608458</v>
      </c>
      <c r="H37" s="118">
        <f t="shared" si="15"/>
        <v>0.3344476340913114</v>
      </c>
      <c r="I37" s="118">
        <f t="shared" si="15"/>
        <v>0.34256651697734863</v>
      </c>
      <c r="J37" s="118">
        <f t="shared" si="15"/>
        <v>0.34485865746961997</v>
      </c>
      <c r="K37" s="118">
        <f t="shared" si="15"/>
        <v>0.35387192898851461</v>
      </c>
      <c r="L37" s="118">
        <f t="shared" si="15"/>
        <v>0.34480228954008957</v>
      </c>
      <c r="M37" s="118">
        <f t="shared" si="15"/>
        <v>0.33316738741556162</v>
      </c>
      <c r="N37" s="118">
        <f t="shared" si="15"/>
        <v>0.35640798239369714</v>
      </c>
      <c r="O37" s="118">
        <f t="shared" si="15"/>
        <v>0.35140909652941127</v>
      </c>
      <c r="P37" s="118">
        <f>P14/P13</f>
        <v>0.34537162805992616</v>
      </c>
      <c r="Q37" s="119">
        <f t="shared" si="15"/>
        <v>0.97118497672233384</v>
      </c>
      <c r="R37" s="120">
        <f t="shared" si="15"/>
        <v>0.96912178035320551</v>
      </c>
      <c r="S37" s="120">
        <f t="shared" si="15"/>
        <v>0.96974783609303017</v>
      </c>
      <c r="T37" s="120">
        <f t="shared" si="15"/>
        <v>0.97443099940607047</v>
      </c>
      <c r="U37" s="120">
        <f t="shared" si="15"/>
        <v>0.9787071264785947</v>
      </c>
      <c r="V37" s="120">
        <f t="shared" si="15"/>
        <v>0.98059071288396726</v>
      </c>
      <c r="W37" s="120">
        <f t="shared" si="15"/>
        <v>0.981663913115709</v>
      </c>
      <c r="X37" s="120">
        <f t="shared" si="15"/>
        <v>0.98328257559252752</v>
      </c>
      <c r="Y37" s="120">
        <f t="shared" si="15"/>
        <v>0.98306241262575611</v>
      </c>
      <c r="Z37" s="120">
        <f t="shared" si="15"/>
        <v>0.98301421216296148</v>
      </c>
      <c r="AA37" s="120">
        <f t="shared" si="15"/>
        <v>0.98575159781990918</v>
      </c>
      <c r="AB37" s="120">
        <f t="shared" si="15"/>
        <v>0.98604007300186625</v>
      </c>
      <c r="AC37" s="120">
        <f>AC14/AC13</f>
        <v>0.98625952358731583</v>
      </c>
      <c r="AD37" s="121">
        <f t="shared" si="15"/>
        <v>0.44751551245018412</v>
      </c>
      <c r="AE37" s="121">
        <f t="shared" si="15"/>
        <v>0.4371398558954841</v>
      </c>
      <c r="AF37" s="121">
        <f t="shared" si="15"/>
        <v>0.42702744981145752</v>
      </c>
      <c r="AG37" s="121">
        <f t="shared" si="15"/>
        <v>0.44918733731416893</v>
      </c>
      <c r="AH37" s="121">
        <f t="shared" si="15"/>
        <v>0.473954623499933</v>
      </c>
      <c r="AI37" s="121">
        <f t="shared" si="15"/>
        <v>0.48237227965671609</v>
      </c>
      <c r="AJ37" s="121">
        <f t="shared" si="15"/>
        <v>0.48568751044955277</v>
      </c>
      <c r="AK37" s="121">
        <f t="shared" si="15"/>
        <v>0.49524677587985605</v>
      </c>
      <c r="AL37" s="121">
        <f t="shared" si="15"/>
        <v>0.48778292364040254</v>
      </c>
      <c r="AM37" s="121">
        <f t="shared" si="15"/>
        <v>0.47726992538212543</v>
      </c>
      <c r="AN37" s="121">
        <f t="shared" si="15"/>
        <v>0.49964218523559573</v>
      </c>
      <c r="AO37" s="121">
        <f t="shared" si="15"/>
        <v>0.49566663321802168</v>
      </c>
      <c r="AP37" s="121">
        <f>AP14/AP13</f>
        <v>0.49566663321802168</v>
      </c>
    </row>
    <row r="38" spans="2:42">
      <c r="B38" s="106"/>
      <c r="C38" s="37" t="s">
        <v>40</v>
      </c>
      <c r="D38" s="117">
        <f>1-D37</f>
        <v>0.68721641074643447</v>
      </c>
      <c r="E38" s="118">
        <f t="shared" ref="E38:AO38" si="16">1-E37</f>
        <v>0.69911118007238904</v>
      </c>
      <c r="F38" s="118">
        <f t="shared" si="16"/>
        <v>0.70921147879263791</v>
      </c>
      <c r="G38" s="118">
        <f t="shared" si="16"/>
        <v>0.68877301846391537</v>
      </c>
      <c r="H38" s="118">
        <f t="shared" si="16"/>
        <v>0.6655523659086886</v>
      </c>
      <c r="I38" s="118">
        <f t="shared" si="16"/>
        <v>0.65743348302265137</v>
      </c>
      <c r="J38" s="118">
        <f t="shared" si="16"/>
        <v>0.65514134253038003</v>
      </c>
      <c r="K38" s="118">
        <f t="shared" si="16"/>
        <v>0.64612807101148539</v>
      </c>
      <c r="L38" s="118">
        <f t="shared" si="16"/>
        <v>0.65519771045991049</v>
      </c>
      <c r="M38" s="118">
        <f t="shared" si="16"/>
        <v>0.66683261258443838</v>
      </c>
      <c r="N38" s="118">
        <f t="shared" si="16"/>
        <v>0.6435920176063028</v>
      </c>
      <c r="O38" s="118">
        <f t="shared" si="16"/>
        <v>0.64859090347058879</v>
      </c>
      <c r="P38" s="118">
        <f>1-P37</f>
        <v>0.65462837194007384</v>
      </c>
      <c r="Q38" s="119">
        <f t="shared" si="16"/>
        <v>2.8815023277666163E-2</v>
      </c>
      <c r="R38" s="120">
        <f t="shared" si="16"/>
        <v>3.0878219646794491E-2</v>
      </c>
      <c r="S38" s="120">
        <f t="shared" si="16"/>
        <v>3.0252163906969831E-2</v>
      </c>
      <c r="T38" s="120">
        <f t="shared" si="16"/>
        <v>2.5569000593929525E-2</v>
      </c>
      <c r="U38" s="120">
        <f t="shared" si="16"/>
        <v>2.1292873521405298E-2</v>
      </c>
      <c r="V38" s="120">
        <f t="shared" si="16"/>
        <v>1.9409287116032736E-2</v>
      </c>
      <c r="W38" s="120">
        <f t="shared" si="16"/>
        <v>1.8336086884291003E-2</v>
      </c>
      <c r="X38" s="120">
        <f t="shared" si="16"/>
        <v>1.6717424407472481E-2</v>
      </c>
      <c r="Y38" s="120">
        <f t="shared" si="16"/>
        <v>1.693758737424389E-2</v>
      </c>
      <c r="Z38" s="120">
        <f t="shared" si="16"/>
        <v>1.6985787837038524E-2</v>
      </c>
      <c r="AA38" s="120">
        <f t="shared" si="16"/>
        <v>1.4248402180090824E-2</v>
      </c>
      <c r="AB38" s="120">
        <f t="shared" si="16"/>
        <v>1.3959926998133754E-2</v>
      </c>
      <c r="AC38" s="120">
        <f>1-AC37</f>
        <v>1.3740476412684166E-2</v>
      </c>
      <c r="AD38" s="121">
        <f t="shared" si="16"/>
        <v>0.55248448754981583</v>
      </c>
      <c r="AE38" s="121">
        <f t="shared" si="16"/>
        <v>0.5628601441045159</v>
      </c>
      <c r="AF38" s="121">
        <f t="shared" si="16"/>
        <v>0.57297255018854254</v>
      </c>
      <c r="AG38" s="121">
        <f t="shared" si="16"/>
        <v>0.55081266268583107</v>
      </c>
      <c r="AH38" s="121">
        <f t="shared" si="16"/>
        <v>0.526045376500067</v>
      </c>
      <c r="AI38" s="121">
        <f t="shared" si="16"/>
        <v>0.51762772034328397</v>
      </c>
      <c r="AJ38" s="121">
        <f t="shared" si="16"/>
        <v>0.51431248955044717</v>
      </c>
      <c r="AK38" s="121">
        <f t="shared" si="16"/>
        <v>0.50475322412014401</v>
      </c>
      <c r="AL38" s="121">
        <f t="shared" si="16"/>
        <v>0.51221707635959746</v>
      </c>
      <c r="AM38" s="121">
        <f t="shared" si="16"/>
        <v>0.52273007461787457</v>
      </c>
      <c r="AN38" s="121">
        <f t="shared" si="16"/>
        <v>0.50035781476440433</v>
      </c>
      <c r="AO38" s="121">
        <f t="shared" si="16"/>
        <v>0.50433336678197827</v>
      </c>
      <c r="AP38" s="121">
        <f>1-AP37</f>
        <v>0.50433336678197827</v>
      </c>
    </row>
    <row r="39" spans="2:42">
      <c r="B39" s="106" t="s">
        <v>49</v>
      </c>
      <c r="C39" s="37" t="s">
        <v>22</v>
      </c>
      <c r="D39" s="117">
        <f>D17/D16</f>
        <v>8.5456611588489884E-2</v>
      </c>
      <c r="E39" s="118">
        <f t="shared" ref="E39:AO39" si="17">E17/E16</f>
        <v>7.4043945753649018E-2</v>
      </c>
      <c r="F39" s="118">
        <f t="shared" si="17"/>
        <v>8.6201289164485578E-2</v>
      </c>
      <c r="G39" s="118">
        <f t="shared" si="17"/>
        <v>0.1002846078407664</v>
      </c>
      <c r="H39" s="118">
        <f t="shared" si="17"/>
        <v>0.12530860287170037</v>
      </c>
      <c r="I39" s="118">
        <f t="shared" si="17"/>
        <v>0.13581543325252468</v>
      </c>
      <c r="J39" s="118">
        <f t="shared" si="17"/>
        <v>0.14566285333913695</v>
      </c>
      <c r="K39" s="118">
        <f t="shared" si="17"/>
        <v>0.17008856084410268</v>
      </c>
      <c r="L39" s="118">
        <f t="shared" si="17"/>
        <v>0.17776651125086368</v>
      </c>
      <c r="M39" s="118">
        <f t="shared" si="17"/>
        <v>0.17961627878968786</v>
      </c>
      <c r="N39" s="118">
        <f t="shared" si="17"/>
        <v>0.22348017878730012</v>
      </c>
      <c r="O39" s="118">
        <f t="shared" si="17"/>
        <v>0.22946867635327053</v>
      </c>
      <c r="P39" s="118">
        <f>P17/P16</f>
        <v>0.2343753601064209</v>
      </c>
      <c r="Q39" s="119">
        <f t="shared" si="17"/>
        <v>0.7942949246311185</v>
      </c>
      <c r="R39" s="120">
        <f t="shared" si="17"/>
        <v>0.84564942423722</v>
      </c>
      <c r="S39" s="120">
        <f t="shared" si="17"/>
        <v>0.87546151724829291</v>
      </c>
      <c r="T39" s="120">
        <f t="shared" si="17"/>
        <v>0.92087776457632164</v>
      </c>
      <c r="U39" s="120">
        <f t="shared" si="17"/>
        <v>0.95601139722565742</v>
      </c>
      <c r="V39" s="120">
        <f t="shared" si="17"/>
        <v>0.97252215741886838</v>
      </c>
      <c r="W39" s="120">
        <f t="shared" si="17"/>
        <v>0.98484810409648282</v>
      </c>
      <c r="X39" s="120">
        <f t="shared" si="17"/>
        <v>0.9901289963320159</v>
      </c>
      <c r="Y39" s="120">
        <f t="shared" si="17"/>
        <v>0.992779593247196</v>
      </c>
      <c r="Z39" s="120">
        <f t="shared" si="17"/>
        <v>0.99375453918849754</v>
      </c>
      <c r="AA39" s="120">
        <f t="shared" si="17"/>
        <v>0.99548147833288547</v>
      </c>
      <c r="AB39" s="120">
        <f t="shared" si="17"/>
        <v>0.99611787537181562</v>
      </c>
      <c r="AC39" s="120">
        <f>AC17/AC16</f>
        <v>0.99676060796708543</v>
      </c>
      <c r="AD39" s="121">
        <f t="shared" si="17"/>
        <v>0.1288820769069767</v>
      </c>
      <c r="AE39" s="121">
        <f t="shared" si="17"/>
        <v>0.11618884366282613</v>
      </c>
      <c r="AF39" s="121">
        <f t="shared" si="17"/>
        <v>0.12472813005506452</v>
      </c>
      <c r="AG39" s="121">
        <f t="shared" si="17"/>
        <v>0.13827039911011468</v>
      </c>
      <c r="AH39" s="121">
        <f t="shared" si="17"/>
        <v>0.16260078835077962</v>
      </c>
      <c r="AI39" s="121">
        <f t="shared" si="17"/>
        <v>0.17678915668090783</v>
      </c>
      <c r="AJ39" s="121">
        <f t="shared" si="17"/>
        <v>0.18993316446736463</v>
      </c>
      <c r="AK39" s="121">
        <f t="shared" si="17"/>
        <v>0.21950379708792311</v>
      </c>
      <c r="AL39" s="121">
        <f t="shared" si="17"/>
        <v>0.22882057462198507</v>
      </c>
      <c r="AM39" s="121">
        <f t="shared" si="17"/>
        <v>0.23236361311236489</v>
      </c>
      <c r="AN39" s="121">
        <f t="shared" si="17"/>
        <v>0.27915489904789487</v>
      </c>
      <c r="AO39" s="121">
        <f t="shared" si="17"/>
        <v>0.28733799786785647</v>
      </c>
      <c r="AP39" s="121">
        <f>AP17/AP16</f>
        <v>0.28733799786785647</v>
      </c>
    </row>
    <row r="40" spans="2:42">
      <c r="B40" s="106"/>
      <c r="C40" s="37" t="s">
        <v>40</v>
      </c>
      <c r="D40" s="117">
        <f>1-D39</f>
        <v>0.91454338841151017</v>
      </c>
      <c r="E40" s="118">
        <f t="shared" ref="E40:AO40" si="18">1-E39</f>
        <v>0.92595605424635097</v>
      </c>
      <c r="F40" s="118">
        <f t="shared" si="18"/>
        <v>0.91379871083551445</v>
      </c>
      <c r="G40" s="118">
        <f t="shared" si="18"/>
        <v>0.89971539215923357</v>
      </c>
      <c r="H40" s="118">
        <f t="shared" si="18"/>
        <v>0.87469139712829969</v>
      </c>
      <c r="I40" s="118">
        <f t="shared" si="18"/>
        <v>0.86418456674747535</v>
      </c>
      <c r="J40" s="118">
        <f t="shared" si="18"/>
        <v>0.85433714666086302</v>
      </c>
      <c r="K40" s="118">
        <f t="shared" si="18"/>
        <v>0.82991143915589727</v>
      </c>
      <c r="L40" s="118">
        <f t="shared" si="18"/>
        <v>0.82223348874913627</v>
      </c>
      <c r="M40" s="118">
        <f t="shared" si="18"/>
        <v>0.82038372121031211</v>
      </c>
      <c r="N40" s="118">
        <f t="shared" si="18"/>
        <v>0.77651982121269991</v>
      </c>
      <c r="O40" s="118">
        <f t="shared" si="18"/>
        <v>0.77053132364672949</v>
      </c>
      <c r="P40" s="118">
        <f>1-P39</f>
        <v>0.7656246398935791</v>
      </c>
      <c r="Q40" s="119">
        <f t="shared" si="18"/>
        <v>0.2057050753688815</v>
      </c>
      <c r="R40" s="120">
        <f t="shared" si="18"/>
        <v>0.15435057576278</v>
      </c>
      <c r="S40" s="120">
        <f t="shared" si="18"/>
        <v>0.12453848275170709</v>
      </c>
      <c r="T40" s="120">
        <f t="shared" si="18"/>
        <v>7.9122235423678355E-2</v>
      </c>
      <c r="U40" s="120">
        <f t="shared" si="18"/>
        <v>4.3988602774342578E-2</v>
      </c>
      <c r="V40" s="120">
        <f t="shared" si="18"/>
        <v>2.7477842581131617E-2</v>
      </c>
      <c r="W40" s="120">
        <f t="shared" si="18"/>
        <v>1.5151895903517176E-2</v>
      </c>
      <c r="X40" s="120">
        <f t="shared" si="18"/>
        <v>9.8710036679841018E-3</v>
      </c>
      <c r="Y40" s="120">
        <f t="shared" si="18"/>
        <v>7.2204067528039984E-3</v>
      </c>
      <c r="Z40" s="120">
        <f t="shared" si="18"/>
        <v>6.2454608115024568E-3</v>
      </c>
      <c r="AA40" s="120">
        <f t="shared" si="18"/>
        <v>4.5185216671145279E-3</v>
      </c>
      <c r="AB40" s="120">
        <f t="shared" si="18"/>
        <v>3.8821246281843802E-3</v>
      </c>
      <c r="AC40" s="120">
        <f>1-AC39</f>
        <v>3.2393920329145676E-3</v>
      </c>
      <c r="AD40" s="121">
        <f t="shared" si="18"/>
        <v>0.87111792309302327</v>
      </c>
      <c r="AE40" s="121">
        <f t="shared" si="18"/>
        <v>0.88381115633717389</v>
      </c>
      <c r="AF40" s="121">
        <f t="shared" si="18"/>
        <v>0.87527186994493544</v>
      </c>
      <c r="AG40" s="121">
        <f t="shared" si="18"/>
        <v>0.86172960088988537</v>
      </c>
      <c r="AH40" s="121">
        <f t="shared" si="18"/>
        <v>0.83739921164922038</v>
      </c>
      <c r="AI40" s="121">
        <f t="shared" si="18"/>
        <v>0.82321084331909211</v>
      </c>
      <c r="AJ40" s="121">
        <f t="shared" si="18"/>
        <v>0.81006683553263537</v>
      </c>
      <c r="AK40" s="121">
        <f t="shared" si="18"/>
        <v>0.78049620291207689</v>
      </c>
      <c r="AL40" s="121">
        <f t="shared" si="18"/>
        <v>0.77117942537801487</v>
      </c>
      <c r="AM40" s="121">
        <f t="shared" si="18"/>
        <v>0.76763638688763514</v>
      </c>
      <c r="AN40" s="121">
        <f t="shared" si="18"/>
        <v>0.72084510095210508</v>
      </c>
      <c r="AO40" s="121">
        <f t="shared" si="18"/>
        <v>0.71266200213214348</v>
      </c>
      <c r="AP40" s="121">
        <f>1-AP39</f>
        <v>0.71266200213214348</v>
      </c>
    </row>
    <row r="41" spans="2:42">
      <c r="B41" s="106" t="s">
        <v>50</v>
      </c>
      <c r="C41" s="37" t="s">
        <v>22</v>
      </c>
      <c r="D41" s="117">
        <f>D20/D19</f>
        <v>0.34043465603980938</v>
      </c>
      <c r="E41" s="118">
        <f t="shared" ref="E41:AO41" si="19">E20/E19</f>
        <v>0.32873087137255819</v>
      </c>
      <c r="F41" s="118">
        <f t="shared" si="19"/>
        <v>0.33018248373578013</v>
      </c>
      <c r="G41" s="118">
        <f t="shared" si="19"/>
        <v>0.35208491547371112</v>
      </c>
      <c r="H41" s="118">
        <f t="shared" si="19"/>
        <v>0.38748883934876338</v>
      </c>
      <c r="I41" s="118">
        <f t="shared" si="19"/>
        <v>0.39784983094690146</v>
      </c>
      <c r="J41" s="118">
        <f t="shared" si="19"/>
        <v>0.40559622844615817</v>
      </c>
      <c r="K41" s="118">
        <f t="shared" si="19"/>
        <v>0.41995572560322852</v>
      </c>
      <c r="L41" s="118">
        <f t="shared" si="19"/>
        <v>0.42089273209241229</v>
      </c>
      <c r="M41" s="118">
        <f t="shared" si="19"/>
        <v>0.41510099622456542</v>
      </c>
      <c r="N41" s="118">
        <f t="shared" si="19"/>
        <v>0.44804509763657824</v>
      </c>
      <c r="O41" s="118">
        <f t="shared" si="19"/>
        <v>0.45200234652930743</v>
      </c>
      <c r="P41" s="118">
        <f>P20/P19</f>
        <v>0.45802063031633566</v>
      </c>
      <c r="Q41" s="119">
        <f t="shared" si="19"/>
        <v>0.86109432202687286</v>
      </c>
      <c r="R41" s="120">
        <f t="shared" si="19"/>
        <v>0.86631462872316289</v>
      </c>
      <c r="S41" s="120">
        <f t="shared" si="19"/>
        <v>0.88112329422140967</v>
      </c>
      <c r="T41" s="120">
        <f t="shared" si="19"/>
        <v>0.907307234620783</v>
      </c>
      <c r="U41" s="120">
        <f t="shared" si="19"/>
        <v>0.9410591260420228</v>
      </c>
      <c r="V41" s="120">
        <f t="shared" si="19"/>
        <v>0.95481413790254488</v>
      </c>
      <c r="W41" s="120">
        <f t="shared" si="19"/>
        <v>0.96337996738080012</v>
      </c>
      <c r="X41" s="120">
        <f t="shared" si="19"/>
        <v>0.9718953726489965</v>
      </c>
      <c r="Y41" s="120">
        <f t="shared" si="19"/>
        <v>0.97487803487956293</v>
      </c>
      <c r="Z41" s="120">
        <f t="shared" si="19"/>
        <v>0.97695661808814593</v>
      </c>
      <c r="AA41" s="120">
        <f t="shared" si="19"/>
        <v>0.98105755313577381</v>
      </c>
      <c r="AB41" s="120">
        <f t="shared" si="19"/>
        <v>0.98296635011746514</v>
      </c>
      <c r="AC41" s="120">
        <f>AC20/AC19</f>
        <v>0.98431898587471189</v>
      </c>
      <c r="AD41" s="121">
        <f t="shared" si="19"/>
        <v>0.34740595882238234</v>
      </c>
      <c r="AE41" s="121">
        <f t="shared" si="19"/>
        <v>0.33651553436828746</v>
      </c>
      <c r="AF41" s="121">
        <f t="shared" si="19"/>
        <v>0.33892426636245682</v>
      </c>
      <c r="AG41" s="121">
        <f t="shared" si="19"/>
        <v>0.36206874225562297</v>
      </c>
      <c r="AH41" s="121">
        <f t="shared" si="19"/>
        <v>0.39945215301174974</v>
      </c>
      <c r="AI41" s="121">
        <f t="shared" si="19"/>
        <v>0.4109491141285489</v>
      </c>
      <c r="AJ41" s="121">
        <f t="shared" si="19"/>
        <v>0.41975803203496254</v>
      </c>
      <c r="AK41" s="121">
        <f t="shared" si="19"/>
        <v>0.43515260604191347</v>
      </c>
      <c r="AL41" s="121">
        <f t="shared" si="19"/>
        <v>0.43681988660986254</v>
      </c>
      <c r="AM41" s="121">
        <f t="shared" si="19"/>
        <v>0.43165939808173753</v>
      </c>
      <c r="AN41" s="121">
        <f t="shared" si="19"/>
        <v>0.46486506702176666</v>
      </c>
      <c r="AO41" s="121">
        <f t="shared" si="19"/>
        <v>0.46912714389070209</v>
      </c>
      <c r="AP41" s="121">
        <f>AP20/AP19</f>
        <v>0.46912714389070209</v>
      </c>
    </row>
    <row r="42" spans="2:42">
      <c r="B42" s="106"/>
      <c r="C42" s="37" t="s">
        <v>40</v>
      </c>
      <c r="D42" s="117">
        <f>1-D41</f>
        <v>0.65956534396019062</v>
      </c>
      <c r="E42" s="118">
        <f t="shared" ref="E42:AO42" si="20">1-E41</f>
        <v>0.67126912862744181</v>
      </c>
      <c r="F42" s="118">
        <f t="shared" si="20"/>
        <v>0.66981751626421993</v>
      </c>
      <c r="G42" s="118">
        <f t="shared" si="20"/>
        <v>0.64791508452628888</v>
      </c>
      <c r="H42" s="118">
        <f t="shared" si="20"/>
        <v>0.61251116065123656</v>
      </c>
      <c r="I42" s="118">
        <f t="shared" si="20"/>
        <v>0.60215016905309859</v>
      </c>
      <c r="J42" s="118">
        <f t="shared" si="20"/>
        <v>0.59440377155384183</v>
      </c>
      <c r="K42" s="118">
        <f t="shared" si="20"/>
        <v>0.58004427439677153</v>
      </c>
      <c r="L42" s="118">
        <f t="shared" si="20"/>
        <v>0.57910726790758771</v>
      </c>
      <c r="M42" s="118">
        <f t="shared" si="20"/>
        <v>0.58489900377543458</v>
      </c>
      <c r="N42" s="118">
        <f t="shared" si="20"/>
        <v>0.55195490236342182</v>
      </c>
      <c r="O42" s="118">
        <f t="shared" si="20"/>
        <v>0.54799765347069251</v>
      </c>
      <c r="P42" s="118">
        <f>1-P41</f>
        <v>0.54197936968366434</v>
      </c>
      <c r="Q42" s="119">
        <f t="shared" si="20"/>
        <v>0.13890567797312714</v>
      </c>
      <c r="R42" s="120">
        <f t="shared" si="20"/>
        <v>0.13368537127683711</v>
      </c>
      <c r="S42" s="120">
        <f t="shared" si="20"/>
        <v>0.11887670577859033</v>
      </c>
      <c r="T42" s="120">
        <f t="shared" si="20"/>
        <v>9.2692765379217001E-2</v>
      </c>
      <c r="U42" s="120">
        <f t="shared" si="20"/>
        <v>5.8940873957977202E-2</v>
      </c>
      <c r="V42" s="120">
        <f t="shared" si="20"/>
        <v>4.5185862097455121E-2</v>
      </c>
      <c r="W42" s="120">
        <f t="shared" si="20"/>
        <v>3.6620032619199883E-2</v>
      </c>
      <c r="X42" s="120">
        <f t="shared" si="20"/>
        <v>2.8104627351003497E-2</v>
      </c>
      <c r="Y42" s="120">
        <f t="shared" si="20"/>
        <v>2.5121965120437073E-2</v>
      </c>
      <c r="Z42" s="120">
        <f t="shared" si="20"/>
        <v>2.3043381911854066E-2</v>
      </c>
      <c r="AA42" s="120">
        <f t="shared" si="20"/>
        <v>1.8942446864226192E-2</v>
      </c>
      <c r="AB42" s="120">
        <f t="shared" si="20"/>
        <v>1.7033649882534863E-2</v>
      </c>
      <c r="AC42" s="120">
        <f>1-AC41</f>
        <v>1.5681014125288106E-2</v>
      </c>
      <c r="AD42" s="121">
        <f t="shared" si="20"/>
        <v>0.65259404117761766</v>
      </c>
      <c r="AE42" s="121">
        <f t="shared" si="20"/>
        <v>0.66348446563171248</v>
      </c>
      <c r="AF42" s="121">
        <f t="shared" si="20"/>
        <v>0.66107573363754324</v>
      </c>
      <c r="AG42" s="121">
        <f t="shared" si="20"/>
        <v>0.63793125774437698</v>
      </c>
      <c r="AH42" s="121">
        <f t="shared" si="20"/>
        <v>0.60054784698825026</v>
      </c>
      <c r="AI42" s="121">
        <f t="shared" si="20"/>
        <v>0.58905088587145116</v>
      </c>
      <c r="AJ42" s="121">
        <f t="shared" si="20"/>
        <v>0.58024196796503746</v>
      </c>
      <c r="AK42" s="121">
        <f t="shared" si="20"/>
        <v>0.56484739395808647</v>
      </c>
      <c r="AL42" s="121">
        <f t="shared" si="20"/>
        <v>0.56318011339013752</v>
      </c>
      <c r="AM42" s="121">
        <f t="shared" si="20"/>
        <v>0.56834060191826241</v>
      </c>
      <c r="AN42" s="121">
        <f t="shared" si="20"/>
        <v>0.53513493297823334</v>
      </c>
      <c r="AO42" s="121">
        <f t="shared" si="20"/>
        <v>0.53087285610929791</v>
      </c>
      <c r="AP42" s="121">
        <f>1-AP41</f>
        <v>0.53087285610929791</v>
      </c>
    </row>
    <row r="43" spans="2:42" ht="17.25" customHeight="1">
      <c r="B43" s="106" t="s">
        <v>25</v>
      </c>
      <c r="C43" s="37" t="s">
        <v>22</v>
      </c>
      <c r="D43" s="117">
        <f>D23/D22</f>
        <v>0.15221706514860764</v>
      </c>
      <c r="E43" s="118">
        <f t="shared" ref="E43:AO43" si="21">E23/E22</f>
        <v>0.39257227205390038</v>
      </c>
      <c r="F43" s="118">
        <f t="shared" si="21"/>
        <v>0.50089995519153863</v>
      </c>
      <c r="G43" s="118">
        <f t="shared" si="21"/>
        <v>0.52107117395906266</v>
      </c>
      <c r="H43" s="118">
        <f t="shared" si="21"/>
        <v>0.55628847781297641</v>
      </c>
      <c r="I43" s="118">
        <f t="shared" si="21"/>
        <v>0.53210478873103895</v>
      </c>
      <c r="J43" s="118">
        <f t="shared" si="21"/>
        <v>0.52104432119762634</v>
      </c>
      <c r="K43" s="118">
        <f t="shared" si="21"/>
        <v>0.52811748817734105</v>
      </c>
      <c r="L43" s="118">
        <f t="shared" si="21"/>
        <v>0.51790171669531049</v>
      </c>
      <c r="M43" s="118">
        <f t="shared" si="21"/>
        <v>0.45670968572863235</v>
      </c>
      <c r="N43" s="118">
        <f t="shared" si="21"/>
        <v>0.52524217594359823</v>
      </c>
      <c r="O43" s="118">
        <f t="shared" si="21"/>
        <v>0.61903158935604352</v>
      </c>
      <c r="P43" s="118">
        <f>P23/P22</f>
        <v>0.61903158935604352</v>
      </c>
      <c r="Q43" s="119">
        <f t="shared" si="21"/>
        <v>0.9622236134487907</v>
      </c>
      <c r="R43" s="120">
        <f t="shared" si="21"/>
        <v>0.97061848608864165</v>
      </c>
      <c r="S43" s="120">
        <f t="shared" si="21"/>
        <v>0.96849305257379181</v>
      </c>
      <c r="T43" s="120">
        <f t="shared" si="21"/>
        <v>0.96323806833116676</v>
      </c>
      <c r="U43" s="120">
        <f t="shared" si="21"/>
        <v>0.97010216659462079</v>
      </c>
      <c r="V43" s="120">
        <f t="shared" si="21"/>
        <v>0.96845795855260208</v>
      </c>
      <c r="W43" s="120">
        <f t="shared" si="21"/>
        <v>0.97513534228110166</v>
      </c>
      <c r="X43" s="120">
        <f t="shared" si="21"/>
        <v>0.97776864764111371</v>
      </c>
      <c r="Y43" s="120">
        <f t="shared" si="21"/>
        <v>0.97494349537056857</v>
      </c>
      <c r="Z43" s="120">
        <f t="shared" si="21"/>
        <v>0.97323675344810301</v>
      </c>
      <c r="AA43" s="120">
        <f t="shared" si="21"/>
        <v>0.980159417680874</v>
      </c>
      <c r="AB43" s="120">
        <f t="shared" si="21"/>
        <v>0.98388621561323175</v>
      </c>
      <c r="AC43" s="120">
        <f>AC23/AC22</f>
        <v>0.98388621561323186</v>
      </c>
      <c r="AD43" s="121">
        <f t="shared" si="21"/>
        <v>0.20965653568578527</v>
      </c>
      <c r="AE43" s="121">
        <f t="shared" si="21"/>
        <v>0.48119237134132431</v>
      </c>
      <c r="AF43" s="121">
        <f t="shared" si="21"/>
        <v>0.58633452779026929</v>
      </c>
      <c r="AG43" s="121">
        <f t="shared" si="21"/>
        <v>0.5984899303539446</v>
      </c>
      <c r="AH43" s="121">
        <f t="shared" si="21"/>
        <v>0.62948394563151455</v>
      </c>
      <c r="AI43" s="121">
        <f t="shared" si="21"/>
        <v>0.60013818343996561</v>
      </c>
      <c r="AJ43" s="121">
        <f t="shared" si="21"/>
        <v>0.59444979612619897</v>
      </c>
      <c r="AK43" s="121">
        <f t="shared" si="21"/>
        <v>0.59534986670341561</v>
      </c>
      <c r="AL43" s="121">
        <f t="shared" si="21"/>
        <v>0.58085365313821569</v>
      </c>
      <c r="AM43" s="121">
        <f t="shared" si="21"/>
        <v>0.51679371741142399</v>
      </c>
      <c r="AN43" s="121">
        <f t="shared" si="21"/>
        <v>0.57416430472432178</v>
      </c>
      <c r="AO43" s="121">
        <f t="shared" si="21"/>
        <v>0.65914053070430523</v>
      </c>
      <c r="AP43" s="121">
        <f>AP23/AP22</f>
        <v>0.65914053070430523</v>
      </c>
    </row>
    <row r="44" spans="2:42" ht="17.25" customHeight="1">
      <c r="B44" s="106"/>
      <c r="C44" s="37" t="s">
        <v>40</v>
      </c>
      <c r="D44" s="117">
        <f>1-D43</f>
        <v>0.84778293485139233</v>
      </c>
      <c r="E44" s="118">
        <f t="shared" ref="E44:AO44" si="22">1-E43</f>
        <v>0.60742772794609956</v>
      </c>
      <c r="F44" s="118">
        <f t="shared" si="22"/>
        <v>0.49910004480846137</v>
      </c>
      <c r="G44" s="118">
        <f t="shared" si="22"/>
        <v>0.47892882604093734</v>
      </c>
      <c r="H44" s="118">
        <f t="shared" si="22"/>
        <v>0.44371152218702359</v>
      </c>
      <c r="I44" s="118">
        <f t="shared" si="22"/>
        <v>0.46789521126896105</v>
      </c>
      <c r="J44" s="118">
        <f t="shared" si="22"/>
        <v>0.47895567880237366</v>
      </c>
      <c r="K44" s="118">
        <f t="shared" si="22"/>
        <v>0.47188251182265895</v>
      </c>
      <c r="L44" s="118">
        <f t="shared" si="22"/>
        <v>0.48209828330468951</v>
      </c>
      <c r="M44" s="118">
        <f t="shared" si="22"/>
        <v>0.54329031427136765</v>
      </c>
      <c r="N44" s="118">
        <f t="shared" si="22"/>
        <v>0.47475782405640177</v>
      </c>
      <c r="O44" s="118">
        <f t="shared" si="22"/>
        <v>0.38096841064395648</v>
      </c>
      <c r="P44" s="118">
        <f>1-P43</f>
        <v>0.38096841064395648</v>
      </c>
      <c r="Q44" s="119">
        <f t="shared" si="22"/>
        <v>3.7776386551209296E-2</v>
      </c>
      <c r="R44" s="120">
        <f t="shared" si="22"/>
        <v>2.9381513911358348E-2</v>
      </c>
      <c r="S44" s="120">
        <f t="shared" si="22"/>
        <v>3.1506947426208187E-2</v>
      </c>
      <c r="T44" s="120">
        <f t="shared" si="22"/>
        <v>3.6761931668833236E-2</v>
      </c>
      <c r="U44" s="120">
        <f t="shared" si="22"/>
        <v>2.9897833405379215E-2</v>
      </c>
      <c r="V44" s="120">
        <f t="shared" si="22"/>
        <v>3.1542041447397917E-2</v>
      </c>
      <c r="W44" s="120">
        <f t="shared" si="22"/>
        <v>2.4864657718898342E-2</v>
      </c>
      <c r="X44" s="120">
        <f t="shared" si="22"/>
        <v>2.2231352358886292E-2</v>
      </c>
      <c r="Y44" s="120">
        <f t="shared" si="22"/>
        <v>2.5056504629431431E-2</v>
      </c>
      <c r="Z44" s="120">
        <f t="shared" si="22"/>
        <v>2.6763246551896991E-2</v>
      </c>
      <c r="AA44" s="120">
        <f t="shared" si="22"/>
        <v>1.9840582319125999E-2</v>
      </c>
      <c r="AB44" s="120">
        <f t="shared" si="22"/>
        <v>1.6113784386768248E-2</v>
      </c>
      <c r="AC44" s="120">
        <f>1-AC43</f>
        <v>1.6113784386768137E-2</v>
      </c>
      <c r="AD44" s="121">
        <f t="shared" si="22"/>
        <v>0.79034346431421476</v>
      </c>
      <c r="AE44" s="121">
        <f t="shared" si="22"/>
        <v>0.51880762865867569</v>
      </c>
      <c r="AF44" s="121">
        <f t="shared" si="22"/>
        <v>0.41366547220973071</v>
      </c>
      <c r="AG44" s="121">
        <f t="shared" si="22"/>
        <v>0.4015100696460554</v>
      </c>
      <c r="AH44" s="121">
        <f t="shared" si="22"/>
        <v>0.37051605436848545</v>
      </c>
      <c r="AI44" s="121">
        <f t="shared" si="22"/>
        <v>0.39986181656003439</v>
      </c>
      <c r="AJ44" s="121">
        <f t="shared" si="22"/>
        <v>0.40555020387380103</v>
      </c>
      <c r="AK44" s="121">
        <f t="shared" si="22"/>
        <v>0.40465013329658439</v>
      </c>
      <c r="AL44" s="121">
        <f t="shared" si="22"/>
        <v>0.41914634686178431</v>
      </c>
      <c r="AM44" s="121">
        <f t="shared" si="22"/>
        <v>0.48320628258857601</v>
      </c>
      <c r="AN44" s="121">
        <f t="shared" si="22"/>
        <v>0.42583569527567822</v>
      </c>
      <c r="AO44" s="121">
        <f t="shared" si="22"/>
        <v>0.34085946929569477</v>
      </c>
      <c r="AP44" s="121">
        <f>1-AP43</f>
        <v>0.34085946929569477</v>
      </c>
    </row>
    <row r="45" spans="2:42" ht="17.25" customHeight="1">
      <c r="B45" s="106" t="s">
        <v>37</v>
      </c>
      <c r="C45" s="37" t="s">
        <v>22</v>
      </c>
      <c r="D45" s="117">
        <f>D26/D25</f>
        <v>0.17971195694501124</v>
      </c>
      <c r="E45" s="118">
        <f t="shared" ref="E45:AO45" si="23">E26/E25</f>
        <v>0.17316090004553911</v>
      </c>
      <c r="F45" s="118">
        <f t="shared" si="23"/>
        <v>0.17272028389353197</v>
      </c>
      <c r="G45" s="118">
        <f t="shared" si="23"/>
        <v>0.18949566556558362</v>
      </c>
      <c r="H45" s="118">
        <f t="shared" si="23"/>
        <v>0.21389525012428887</v>
      </c>
      <c r="I45" s="118">
        <f t="shared" si="23"/>
        <v>0.22544129352841513</v>
      </c>
      <c r="J45" s="118">
        <f t="shared" si="23"/>
        <v>0.23252428944542936</v>
      </c>
      <c r="K45" s="118">
        <f t="shared" si="23"/>
        <v>0.24695423338811071</v>
      </c>
      <c r="L45" s="118">
        <f t="shared" si="23"/>
        <v>0.24601825827887389</v>
      </c>
      <c r="M45" s="118">
        <f t="shared" si="23"/>
        <v>0.24126437732623029</v>
      </c>
      <c r="N45" s="118">
        <f t="shared" si="23"/>
        <v>0.26597034254981217</v>
      </c>
      <c r="O45" s="118">
        <f t="shared" si="23"/>
        <v>0.26867064007319552</v>
      </c>
      <c r="P45" s="118">
        <f>P26/P25</f>
        <v>0.28125707185966425</v>
      </c>
      <c r="Q45" s="119">
        <f t="shared" si="23"/>
        <v>0.97461937935780985</v>
      </c>
      <c r="R45" s="120">
        <f t="shared" si="23"/>
        <v>0.97403074769074183</v>
      </c>
      <c r="S45" s="120">
        <f t="shared" si="23"/>
        <v>0.97523568482226264</v>
      </c>
      <c r="T45" s="120">
        <f t="shared" si="23"/>
        <v>0.97906835728218666</v>
      </c>
      <c r="U45" s="120">
        <f t="shared" si="23"/>
        <v>0.98312378059339767</v>
      </c>
      <c r="V45" s="120">
        <f t="shared" si="23"/>
        <v>0.98485392137883854</v>
      </c>
      <c r="W45" s="120">
        <f t="shared" si="23"/>
        <v>0.98607024948920752</v>
      </c>
      <c r="X45" s="120">
        <f t="shared" si="23"/>
        <v>0.98753191748125313</v>
      </c>
      <c r="Y45" s="120">
        <f t="shared" si="23"/>
        <v>0.9877700155346818</v>
      </c>
      <c r="Z45" s="120">
        <f t="shared" si="23"/>
        <v>0.98783960753041644</v>
      </c>
      <c r="AA45" s="120">
        <f t="shared" si="23"/>
        <v>0.98959770592575724</v>
      </c>
      <c r="AB45" s="120">
        <f t="shared" si="23"/>
        <v>0.98997333081684724</v>
      </c>
      <c r="AC45" s="120">
        <f>AC26/AC25</f>
        <v>0.99007548972332449</v>
      </c>
      <c r="AD45" s="121">
        <f t="shared" si="23"/>
        <v>0.33346080248573773</v>
      </c>
      <c r="AE45" s="121">
        <f t="shared" si="23"/>
        <v>0.32613508573478112</v>
      </c>
      <c r="AF45" s="121">
        <f t="shared" si="23"/>
        <v>0.322336773414994</v>
      </c>
      <c r="AG45" s="121">
        <f t="shared" si="23"/>
        <v>0.34229211263517623</v>
      </c>
      <c r="AH45" s="121">
        <f t="shared" si="23"/>
        <v>0.37191132815103461</v>
      </c>
      <c r="AI45" s="121">
        <f t="shared" si="23"/>
        <v>0.38615402548717637</v>
      </c>
      <c r="AJ45" s="121">
        <f t="shared" si="23"/>
        <v>0.39475829868752393</v>
      </c>
      <c r="AK45" s="121">
        <f t="shared" si="23"/>
        <v>0.41089171931019669</v>
      </c>
      <c r="AL45" s="121">
        <f t="shared" si="23"/>
        <v>0.40999718456264678</v>
      </c>
      <c r="AM45" s="121">
        <f t="shared" si="23"/>
        <v>0.40479113689271101</v>
      </c>
      <c r="AN45" s="121">
        <f t="shared" si="23"/>
        <v>0.42964633998299318</v>
      </c>
      <c r="AO45" s="121">
        <f t="shared" si="23"/>
        <v>0.43163701468569793</v>
      </c>
      <c r="AP45" s="121">
        <f>AP26/AP25</f>
        <v>0.43163701468569793</v>
      </c>
    </row>
    <row r="46" spans="2:42" ht="17.25" customHeight="1">
      <c r="B46" s="107"/>
      <c r="C46" s="39" t="s">
        <v>40</v>
      </c>
      <c r="D46" s="122">
        <f>1-D45</f>
        <v>0.82028804305498881</v>
      </c>
      <c r="E46" s="123">
        <f t="shared" ref="E46:AO46" si="24">1-E45</f>
        <v>0.82683909995446092</v>
      </c>
      <c r="F46" s="123">
        <f t="shared" si="24"/>
        <v>0.827279716106468</v>
      </c>
      <c r="G46" s="123">
        <f t="shared" si="24"/>
        <v>0.81050433443441638</v>
      </c>
      <c r="H46" s="123">
        <f t="shared" si="24"/>
        <v>0.78610474987571111</v>
      </c>
      <c r="I46" s="123">
        <f t="shared" si="24"/>
        <v>0.77455870647158487</v>
      </c>
      <c r="J46" s="123">
        <f t="shared" si="24"/>
        <v>0.76747571055457064</v>
      </c>
      <c r="K46" s="123">
        <f t="shared" si="24"/>
        <v>0.75304576661188927</v>
      </c>
      <c r="L46" s="123">
        <f t="shared" si="24"/>
        <v>0.75398174172112609</v>
      </c>
      <c r="M46" s="123">
        <f t="shared" si="24"/>
        <v>0.75873562267376971</v>
      </c>
      <c r="N46" s="123">
        <f t="shared" si="24"/>
        <v>0.73402965745018789</v>
      </c>
      <c r="O46" s="123">
        <f t="shared" si="24"/>
        <v>0.73132935992680448</v>
      </c>
      <c r="P46" s="123">
        <f>1-P45</f>
        <v>0.71874292814033569</v>
      </c>
      <c r="Q46" s="124">
        <f t="shared" si="24"/>
        <v>2.5380620642190155E-2</v>
      </c>
      <c r="R46" s="125">
        <f t="shared" si="24"/>
        <v>2.5969252309258173E-2</v>
      </c>
      <c r="S46" s="125">
        <f t="shared" si="24"/>
        <v>2.4764315177737362E-2</v>
      </c>
      <c r="T46" s="125">
        <f t="shared" si="24"/>
        <v>2.0931642717813337E-2</v>
      </c>
      <c r="U46" s="125">
        <f t="shared" si="24"/>
        <v>1.6876219406602333E-2</v>
      </c>
      <c r="V46" s="125">
        <f t="shared" si="24"/>
        <v>1.5146078621161463E-2</v>
      </c>
      <c r="W46" s="125">
        <f t="shared" si="24"/>
        <v>1.3929750510792482E-2</v>
      </c>
      <c r="X46" s="125">
        <f t="shared" si="24"/>
        <v>1.246808251874687E-2</v>
      </c>
      <c r="Y46" s="125">
        <f t="shared" si="24"/>
        <v>1.22299844653182E-2</v>
      </c>
      <c r="Z46" s="125">
        <f t="shared" si="24"/>
        <v>1.2160392469583559E-2</v>
      </c>
      <c r="AA46" s="125">
        <f t="shared" si="24"/>
        <v>1.0402294074242757E-2</v>
      </c>
      <c r="AB46" s="125">
        <f t="shared" si="24"/>
        <v>1.0026669183152759E-2</v>
      </c>
      <c r="AC46" s="125">
        <f>1-AC45</f>
        <v>9.9245102766755133E-3</v>
      </c>
      <c r="AD46" s="126">
        <f t="shared" si="24"/>
        <v>0.66653919751426227</v>
      </c>
      <c r="AE46" s="126">
        <f t="shared" si="24"/>
        <v>0.67386491426521888</v>
      </c>
      <c r="AF46" s="126">
        <f t="shared" si="24"/>
        <v>0.677663226585006</v>
      </c>
      <c r="AG46" s="126">
        <f t="shared" si="24"/>
        <v>0.65770788736482377</v>
      </c>
      <c r="AH46" s="126">
        <f t="shared" si="24"/>
        <v>0.62808867184896533</v>
      </c>
      <c r="AI46" s="126">
        <f t="shared" si="24"/>
        <v>0.61384597451282363</v>
      </c>
      <c r="AJ46" s="126">
        <f t="shared" si="24"/>
        <v>0.60524170131247601</v>
      </c>
      <c r="AK46" s="126">
        <f t="shared" si="24"/>
        <v>0.58910828068980337</v>
      </c>
      <c r="AL46" s="126">
        <f t="shared" si="24"/>
        <v>0.59000281543735322</v>
      </c>
      <c r="AM46" s="126">
        <f t="shared" si="24"/>
        <v>0.59520886310728893</v>
      </c>
      <c r="AN46" s="126">
        <f t="shared" si="24"/>
        <v>0.57035366001700682</v>
      </c>
      <c r="AO46" s="126">
        <f t="shared" si="24"/>
        <v>0.56836298531430207</v>
      </c>
      <c r="AP46" s="126">
        <f>1-AP45</f>
        <v>0.56836298531430207</v>
      </c>
    </row>
    <row r="49" spans="2:42">
      <c r="B49" s="631" t="s">
        <v>101</v>
      </c>
      <c r="C49" s="631"/>
      <c r="D49" s="631"/>
      <c r="E49" s="631"/>
      <c r="F49" s="631"/>
      <c r="G49" s="631"/>
      <c r="H49" s="631"/>
      <c r="I49" s="631"/>
      <c r="J49" s="631"/>
      <c r="K49" s="631"/>
      <c r="L49" s="631"/>
      <c r="M49" s="631"/>
      <c r="N49" s="631"/>
      <c r="O49" s="631"/>
      <c r="P49" s="631"/>
      <c r="Q49" s="631"/>
      <c r="R49" s="631"/>
      <c r="S49" s="631"/>
      <c r="T49" s="631"/>
      <c r="U49" s="631"/>
      <c r="V49" s="631"/>
      <c r="W49" s="631"/>
      <c r="X49" s="631"/>
      <c r="Y49" s="631"/>
      <c r="Z49" s="631"/>
      <c r="AA49" s="631"/>
      <c r="AB49" s="631"/>
      <c r="AC49" s="631"/>
      <c r="AD49" s="631"/>
      <c r="AE49" s="631"/>
      <c r="AF49" s="631"/>
      <c r="AG49" s="631"/>
      <c r="AH49" s="631"/>
      <c r="AI49" s="631"/>
      <c r="AJ49" s="631"/>
      <c r="AK49" s="631"/>
      <c r="AL49" s="631"/>
      <c r="AM49" s="631"/>
      <c r="AN49" s="631"/>
      <c r="AO49" s="631"/>
      <c r="AP49" s="631"/>
    </row>
    <row r="50" spans="2:42">
      <c r="B50" s="630" t="s">
        <v>100</v>
      </c>
      <c r="C50" s="630"/>
      <c r="D50" s="153">
        <v>200</v>
      </c>
      <c r="E50" s="153">
        <v>240</v>
      </c>
      <c r="F50" s="153">
        <v>260</v>
      </c>
      <c r="G50" s="153">
        <v>300</v>
      </c>
      <c r="H50" s="153">
        <v>350</v>
      </c>
      <c r="I50" s="153">
        <v>380</v>
      </c>
      <c r="J50" s="153">
        <v>415</v>
      </c>
      <c r="K50" s="153">
        <v>465</v>
      </c>
      <c r="L50" s="153">
        <v>510</v>
      </c>
      <c r="M50" s="153">
        <v>545</v>
      </c>
      <c r="N50" s="153">
        <v>622</v>
      </c>
      <c r="O50" s="153">
        <v>678</v>
      </c>
      <c r="P50" s="153">
        <v>724</v>
      </c>
      <c r="Q50" s="153">
        <v>200</v>
      </c>
      <c r="R50" s="153">
        <v>240</v>
      </c>
      <c r="S50" s="153">
        <v>260</v>
      </c>
      <c r="T50" s="153">
        <v>300</v>
      </c>
      <c r="U50" s="153">
        <v>350</v>
      </c>
      <c r="V50" s="153">
        <v>380</v>
      </c>
      <c r="W50" s="153">
        <v>415</v>
      </c>
      <c r="X50" s="153">
        <v>465</v>
      </c>
      <c r="Y50" s="153">
        <v>510</v>
      </c>
      <c r="Z50" s="153">
        <v>545</v>
      </c>
      <c r="AA50" s="153">
        <v>622</v>
      </c>
      <c r="AB50" s="153">
        <v>678</v>
      </c>
      <c r="AC50" s="153">
        <v>724</v>
      </c>
      <c r="AD50" s="153">
        <v>200</v>
      </c>
      <c r="AE50" s="153">
        <v>240</v>
      </c>
      <c r="AF50" s="153">
        <v>260</v>
      </c>
      <c r="AG50" s="153">
        <v>300</v>
      </c>
      <c r="AH50" s="153">
        <v>350</v>
      </c>
      <c r="AI50" s="153">
        <v>380</v>
      </c>
      <c r="AJ50" s="153">
        <v>415</v>
      </c>
      <c r="AK50" s="153">
        <v>465</v>
      </c>
      <c r="AL50" s="153">
        <v>510</v>
      </c>
      <c r="AM50" s="153">
        <v>545</v>
      </c>
      <c r="AN50" s="153">
        <v>622</v>
      </c>
      <c r="AO50" s="153">
        <v>678</v>
      </c>
      <c r="AP50" s="153">
        <v>724</v>
      </c>
    </row>
    <row r="51" spans="2:42">
      <c r="B51" s="154"/>
      <c r="C51" s="154"/>
      <c r="D51" s="155">
        <v>2002</v>
      </c>
      <c r="E51" s="155">
        <v>2003</v>
      </c>
      <c r="F51" s="155">
        <v>2004</v>
      </c>
      <c r="G51" s="155">
        <v>2005</v>
      </c>
      <c r="H51" s="155">
        <v>2006</v>
      </c>
      <c r="I51" s="155">
        <v>2007</v>
      </c>
      <c r="J51" s="155">
        <v>2008</v>
      </c>
      <c r="K51" s="155">
        <v>2009</v>
      </c>
      <c r="L51" s="155">
        <v>2010</v>
      </c>
      <c r="M51" s="155">
        <v>2011</v>
      </c>
      <c r="N51" s="155">
        <v>2012</v>
      </c>
      <c r="O51" s="155">
        <v>2013</v>
      </c>
      <c r="P51" s="156">
        <v>2014</v>
      </c>
      <c r="Q51" s="155">
        <v>2002</v>
      </c>
      <c r="R51" s="155">
        <v>2003</v>
      </c>
      <c r="S51" s="155">
        <v>2004</v>
      </c>
      <c r="T51" s="155">
        <v>2005</v>
      </c>
      <c r="U51" s="155">
        <v>2006</v>
      </c>
      <c r="V51" s="155">
        <v>2007</v>
      </c>
      <c r="W51" s="155">
        <v>2008</v>
      </c>
      <c r="X51" s="155">
        <v>2009</v>
      </c>
      <c r="Y51" s="155">
        <v>2010</v>
      </c>
      <c r="Z51" s="155">
        <v>2011</v>
      </c>
      <c r="AA51" s="155">
        <v>2012</v>
      </c>
      <c r="AB51" s="155">
        <v>2013</v>
      </c>
      <c r="AC51" s="155">
        <v>2014</v>
      </c>
      <c r="AD51" s="155">
        <v>2002</v>
      </c>
      <c r="AE51" s="155">
        <v>2003</v>
      </c>
      <c r="AF51" s="155">
        <v>2004</v>
      </c>
      <c r="AG51" s="155">
        <v>2005</v>
      </c>
      <c r="AH51" s="155">
        <v>2006</v>
      </c>
      <c r="AI51" s="155">
        <v>2007</v>
      </c>
      <c r="AJ51" s="155">
        <v>2008</v>
      </c>
      <c r="AK51" s="155">
        <v>2009</v>
      </c>
      <c r="AL51" s="155">
        <v>2010</v>
      </c>
      <c r="AM51" s="155">
        <v>2011</v>
      </c>
      <c r="AN51" s="155">
        <v>2012</v>
      </c>
      <c r="AO51" s="155">
        <v>2013</v>
      </c>
      <c r="AP51" s="155">
        <v>2014</v>
      </c>
    </row>
    <row r="52" spans="2:42">
      <c r="B52" s="106" t="s">
        <v>53</v>
      </c>
      <c r="C52" s="37" t="s">
        <v>22</v>
      </c>
      <c r="D52" s="110">
        <f>D5</f>
        <v>70.337790139988925</v>
      </c>
      <c r="E52" s="110">
        <f t="shared" ref="E52:AP52" si="25">E5</f>
        <v>85.790351000000001</v>
      </c>
      <c r="F52" s="110">
        <f t="shared" si="25"/>
        <v>99.232085999999995</v>
      </c>
      <c r="G52" s="110">
        <f t="shared" si="25"/>
        <v>129.76946599999999</v>
      </c>
      <c r="H52" s="110">
        <f t="shared" si="25"/>
        <v>178.04652485999603</v>
      </c>
      <c r="I52" s="110">
        <f t="shared" si="25"/>
        <v>216.02990294000259</v>
      </c>
      <c r="J52" s="110">
        <f t="shared" si="25"/>
        <v>263.43978663000689</v>
      </c>
      <c r="K52" s="110">
        <f t="shared" si="25"/>
        <v>339.08355183000367</v>
      </c>
      <c r="L52" s="110">
        <f t="shared" si="25"/>
        <v>400.24603165999952</v>
      </c>
      <c r="M52" s="110">
        <f t="shared" si="25"/>
        <v>451.06043574000063</v>
      </c>
      <c r="N52" s="110">
        <f t="shared" si="25"/>
        <v>591.40080506001186</v>
      </c>
      <c r="O52" s="110">
        <f t="shared" si="25"/>
        <v>696.15106649001041</v>
      </c>
      <c r="P52" s="110">
        <f t="shared" si="25"/>
        <v>782.84986742000012</v>
      </c>
      <c r="Q52" s="111">
        <f t="shared" si="25"/>
        <v>0.36950936999999917</v>
      </c>
      <c r="R52" s="112">
        <f t="shared" si="25"/>
        <v>0.45595400000000003</v>
      </c>
      <c r="S52" s="112">
        <f t="shared" si="25"/>
        <v>0.55572500000000002</v>
      </c>
      <c r="T52" s="112">
        <f t="shared" si="25"/>
        <v>0.89479399999999998</v>
      </c>
      <c r="U52" s="112">
        <f t="shared" si="25"/>
        <v>1.4271771499999986</v>
      </c>
      <c r="V52" s="112">
        <f t="shared" si="25"/>
        <v>1.8545603100000023</v>
      </c>
      <c r="W52" s="112">
        <f t="shared" si="25"/>
        <v>2.4297364599999933</v>
      </c>
      <c r="X52" s="112">
        <f t="shared" si="25"/>
        <v>3.4393932699999956</v>
      </c>
      <c r="Y52" s="112">
        <f t="shared" si="25"/>
        <v>4.2026240999999942</v>
      </c>
      <c r="Z52" s="112">
        <f t="shared" si="25"/>
        <v>4.9052403400000033</v>
      </c>
      <c r="AA52" s="112">
        <f t="shared" si="25"/>
        <v>6.4288066599999967</v>
      </c>
      <c r="AB52" s="112">
        <f t="shared" si="25"/>
        <v>7.6976517500000003</v>
      </c>
      <c r="AC52" s="112">
        <f t="shared" si="25"/>
        <v>8.9103739100000006</v>
      </c>
      <c r="AD52" s="109">
        <f t="shared" si="25"/>
        <v>70.707299509988928</v>
      </c>
      <c r="AE52" s="109">
        <f t="shared" si="25"/>
        <v>86.246305000000007</v>
      </c>
      <c r="AF52" s="109">
        <f t="shared" si="25"/>
        <v>99.787811000000005</v>
      </c>
      <c r="AG52" s="109">
        <f t="shared" si="25"/>
        <v>130.66426000000001</v>
      </c>
      <c r="AH52" s="109">
        <f t="shared" si="25"/>
        <v>179.47370200999603</v>
      </c>
      <c r="AI52" s="109">
        <f t="shared" si="25"/>
        <v>217.8844632500026</v>
      </c>
      <c r="AJ52" s="109">
        <f t="shared" si="25"/>
        <v>265.86952309000691</v>
      </c>
      <c r="AK52" s="109">
        <f t="shared" si="25"/>
        <v>342.52294510000371</v>
      </c>
      <c r="AL52" s="109">
        <f t="shared" si="25"/>
        <v>404.4486557599995</v>
      </c>
      <c r="AM52" s="109">
        <f t="shared" si="25"/>
        <v>455.96567608000061</v>
      </c>
      <c r="AN52" s="109">
        <f t="shared" si="25"/>
        <v>597.82961172001194</v>
      </c>
      <c r="AO52" s="109">
        <f t="shared" si="25"/>
        <v>703.84871824001038</v>
      </c>
      <c r="AP52" s="109">
        <f t="shared" si="25"/>
        <v>703.84871824001038</v>
      </c>
    </row>
    <row r="53" spans="2:42">
      <c r="B53" s="106"/>
      <c r="C53" s="37" t="s">
        <v>40</v>
      </c>
      <c r="D53" s="110">
        <f>RGPS_Quantidade_Dezembro_Cálc!D6/1000*RGPS_Valor_Dezembro_Cálculo!D$50</f>
        <v>626.1268</v>
      </c>
      <c r="E53" s="110">
        <f>RGPS_Quantidade_Dezembro_Cálc!E6/1000*RGPS_Valor_Dezembro_Cálculo!E$50</f>
        <v>763.12488000000008</v>
      </c>
      <c r="F53" s="110">
        <f>RGPS_Quantidade_Dezembro_Cálc!F6/1000*RGPS_Valor_Dezembro_Cálculo!F$50</f>
        <v>848.0784000000001</v>
      </c>
      <c r="G53" s="110">
        <f>RGPS_Quantidade_Dezembro_Cálc!G6/1000*RGPS_Valor_Dezembro_Cálculo!G$50</f>
        <v>974.27459999999996</v>
      </c>
      <c r="H53" s="110">
        <f>RGPS_Quantidade_Dezembro_Cálc!H6/1000*RGPS_Valor_Dezembro_Cálculo!H$50</f>
        <v>1139.2528</v>
      </c>
      <c r="I53" s="110">
        <f>RGPS_Quantidade_Dezembro_Cálc!I6/1000*RGPS_Valor_Dezembro_Cálculo!I$50</f>
        <v>1271.64986</v>
      </c>
      <c r="J53" s="110">
        <f>RGPS_Quantidade_Dezembro_Cálc!J6/1000*RGPS_Valor_Dezembro_Cálculo!J$50</f>
        <v>1431.9587449999999</v>
      </c>
      <c r="K53" s="110">
        <f>RGPS_Quantidade_Dezembro_Cálc!K6/1000*RGPS_Valor_Dezembro_Cálculo!K$50</f>
        <v>1651.132695</v>
      </c>
      <c r="L53" s="110">
        <f>RGPS_Quantidade_Dezembro_Cálc!L6/1000*RGPS_Valor_Dezembro_Cálculo!L$50</f>
        <v>1868.1804900000002</v>
      </c>
      <c r="M53" s="110">
        <f>RGPS_Quantidade_Dezembro_Cálc!M6/1000*RGPS_Valor_Dezembro_Cálculo!M$50</f>
        <v>2073.7555200000002</v>
      </c>
      <c r="N53" s="110">
        <f>RGPS_Quantidade_Dezembro_Cálc!N6/1000*RGPS_Valor_Dezembro_Cálculo!N$50</f>
        <v>2406.1261399999999</v>
      </c>
      <c r="O53" s="110">
        <f>RGPS_Quantidade_Dezembro_Cálc!O6/1000*RGPS_Valor_Dezembro_Cálculo!O$50</f>
        <v>2707.0139880000002</v>
      </c>
      <c r="P53" s="110">
        <f>RGPS_Quantidade_Dezembro_Cálc!P6/1000*RGPS_Valor_Dezembro_Cálculo!P$50</f>
        <v>2988.3150679999999</v>
      </c>
      <c r="Q53" s="111">
        <f>RGPS_Quantidade_Dezembro_Cálc!Q6/1000*RGPS_Valor_Dezembro_Cálculo!Q$50</f>
        <v>0.94199999999999995</v>
      </c>
      <c r="R53" s="112">
        <f>RGPS_Quantidade_Dezembro_Cálc!R6/1000*RGPS_Valor_Dezembro_Cálculo!R$50</f>
        <v>1.2067199999999998</v>
      </c>
      <c r="S53" s="112">
        <f>RGPS_Quantidade_Dezembro_Cálc!S6/1000*RGPS_Valor_Dezembro_Cálculo!S$50</f>
        <v>1.4274</v>
      </c>
      <c r="T53" s="112">
        <f>RGPS_Quantidade_Dezembro_Cálc!T6/1000*RGPS_Valor_Dezembro_Cálculo!T$50</f>
        <v>1.8029999999999999</v>
      </c>
      <c r="U53" s="112">
        <f>RGPS_Quantidade_Dezembro_Cálc!U6/1000*RGPS_Valor_Dezembro_Cálculo!U$50</f>
        <v>2.2277499999999999</v>
      </c>
      <c r="V53" s="112">
        <f>RGPS_Quantidade_Dezembro_Cálc!V6/1000*RGPS_Valor_Dezembro_Cálculo!V$50</f>
        <v>2.46278</v>
      </c>
      <c r="W53" s="112">
        <f>RGPS_Quantidade_Dezembro_Cálc!W6/1000*RGPS_Valor_Dezembro_Cálculo!W$50</f>
        <v>2.8062300000000002</v>
      </c>
      <c r="X53" s="112">
        <f>RGPS_Quantidade_Dezembro_Cálc!X6/1000*RGPS_Valor_Dezembro_Cálculo!X$50</f>
        <v>3.1615350000000002</v>
      </c>
      <c r="Y53" s="112">
        <f>RGPS_Quantidade_Dezembro_Cálc!Y6/1000*RGPS_Valor_Dezembro_Cálculo!Y$50</f>
        <v>3.6041700000000003</v>
      </c>
      <c r="Z53" s="112">
        <f>RGPS_Quantidade_Dezembro_Cálc!Z6/1000*RGPS_Valor_Dezembro_Cálculo!Z$50</f>
        <v>3.9888550000000005</v>
      </c>
      <c r="AA53" s="112">
        <f>RGPS_Quantidade_Dezembro_Cálc!AA6/1000*RGPS_Valor_Dezembro_Cálculo!AA$50</f>
        <v>4.2930439999999992</v>
      </c>
      <c r="AB53" s="112">
        <f>RGPS_Quantidade_Dezembro_Cálc!AB6/1000*RGPS_Valor_Dezembro_Cálculo!AB$50</f>
        <v>4.7107439999999992</v>
      </c>
      <c r="AC53" s="112">
        <f>RGPS_Quantidade_Dezembro_Cálc!AC6/1000*RGPS_Valor_Dezembro_Cálculo!AC$50</f>
        <v>5.182392000000001</v>
      </c>
      <c r="AD53" s="109">
        <f>RGPS_Quantidade_Dezembro_Cálc!AD6/1000*RGPS_Valor_Dezembro_Cálculo!AD$50</f>
        <v>627.06880000000001</v>
      </c>
      <c r="AE53" s="109">
        <f>RGPS_Quantidade_Dezembro_Cálc!AE6/1000*RGPS_Valor_Dezembro_Cálculo!AE$50</f>
        <v>764.33159999999998</v>
      </c>
      <c r="AF53" s="109">
        <f>RGPS_Quantidade_Dezembro_Cálc!AF6/1000*RGPS_Valor_Dezembro_Cálculo!AF$50</f>
        <v>849.50579999999991</v>
      </c>
      <c r="AG53" s="109">
        <f>RGPS_Quantidade_Dezembro_Cálc!AG6/1000*RGPS_Valor_Dezembro_Cálculo!AG$50</f>
        <v>976.07760000000007</v>
      </c>
      <c r="AH53" s="109">
        <f>RGPS_Quantidade_Dezembro_Cálc!AH6/1000*RGPS_Valor_Dezembro_Cálculo!AH$50</f>
        <v>1141.48055</v>
      </c>
      <c r="AI53" s="109">
        <f>RGPS_Quantidade_Dezembro_Cálc!AI6/1000*RGPS_Valor_Dezembro_Cálculo!AI$50</f>
        <v>1274.1126400000001</v>
      </c>
      <c r="AJ53" s="109">
        <f>RGPS_Quantidade_Dezembro_Cálc!AJ6/1000*RGPS_Valor_Dezembro_Cálculo!AJ$50</f>
        <v>1434.764975</v>
      </c>
      <c r="AK53" s="109">
        <f>RGPS_Quantidade_Dezembro_Cálc!AK6/1000*RGPS_Valor_Dezembro_Cálculo!AK$50</f>
        <v>1654.2942300000002</v>
      </c>
      <c r="AL53" s="109">
        <f>RGPS_Quantidade_Dezembro_Cálc!AL6/1000*RGPS_Valor_Dezembro_Cálculo!AL$50</f>
        <v>1871.78466</v>
      </c>
      <c r="AM53" s="109">
        <f>RGPS_Quantidade_Dezembro_Cálc!AM6/1000*RGPS_Valor_Dezembro_Cálculo!AM$50</f>
        <v>2077.7443749999998</v>
      </c>
      <c r="AN53" s="109">
        <f>RGPS_Quantidade_Dezembro_Cálc!AN6/1000*RGPS_Valor_Dezembro_Cálculo!AN$50</f>
        <v>2410.4191839999999</v>
      </c>
      <c r="AO53" s="109">
        <f>RGPS_Quantidade_Dezembro_Cálc!AO6/1000*RGPS_Valor_Dezembro_Cálculo!AO$50</f>
        <v>2711.7247319999997</v>
      </c>
      <c r="AP53" s="109">
        <f>RGPS_Quantidade_Dezembro_Cálc!AP6/1000*RGPS_Valor_Dezembro_Cálculo!AP$50</f>
        <v>2993.49746</v>
      </c>
    </row>
    <row r="54" spans="2:42">
      <c r="B54" s="106" t="s">
        <v>48</v>
      </c>
      <c r="C54" s="37" t="s">
        <v>22</v>
      </c>
      <c r="D54" s="110">
        <f>D8</f>
        <v>184.24620443000006</v>
      </c>
      <c r="E54" s="110">
        <f t="shared" ref="E54:AP54" si="26">E8</f>
        <v>234.263395</v>
      </c>
      <c r="F54" s="110">
        <f t="shared" si="26"/>
        <v>286.77108600000003</v>
      </c>
      <c r="G54" s="110">
        <f t="shared" si="26"/>
        <v>363.50681600000001</v>
      </c>
      <c r="H54" s="110">
        <f t="shared" si="26"/>
        <v>466.90339313999988</v>
      </c>
      <c r="I54" s="110">
        <f t="shared" si="26"/>
        <v>546.42502389000038</v>
      </c>
      <c r="J54" s="110">
        <f t="shared" si="26"/>
        <v>642.46691265999982</v>
      </c>
      <c r="K54" s="110">
        <f t="shared" si="26"/>
        <v>788.09790772999952</v>
      </c>
      <c r="L54" s="110">
        <f t="shared" si="26"/>
        <v>911.87142895000079</v>
      </c>
      <c r="M54" s="110">
        <f t="shared" si="26"/>
        <v>1021.3203080300007</v>
      </c>
      <c r="N54" s="110">
        <f t="shared" si="26"/>
        <v>1278.7940753299999</v>
      </c>
      <c r="O54" s="110">
        <f t="shared" si="26"/>
        <v>1496.5015319200002</v>
      </c>
      <c r="P54" s="110">
        <f t="shared" si="26"/>
        <v>1696.12075454</v>
      </c>
      <c r="Q54" s="111">
        <f t="shared" si="26"/>
        <v>852.57778877999999</v>
      </c>
      <c r="R54" s="112">
        <f t="shared" si="26"/>
        <v>1050.4344599999999</v>
      </c>
      <c r="S54" s="112">
        <f t="shared" si="26"/>
        <v>1168.5653279999999</v>
      </c>
      <c r="T54" s="112">
        <f t="shared" si="26"/>
        <v>1387.332013</v>
      </c>
      <c r="U54" s="112">
        <f t="shared" si="26"/>
        <v>1670.0618298000002</v>
      </c>
      <c r="V54" s="112">
        <f t="shared" si="26"/>
        <v>1872.0597271300001</v>
      </c>
      <c r="W54" s="112">
        <f t="shared" si="26"/>
        <v>2118.1669634999998</v>
      </c>
      <c r="X54" s="112">
        <f t="shared" si="26"/>
        <v>2463.3688741700003</v>
      </c>
      <c r="Y54" s="112">
        <f t="shared" si="26"/>
        <v>2790.8626171299998</v>
      </c>
      <c r="Z54" s="112">
        <f t="shared" si="26"/>
        <v>3067.2273201599996</v>
      </c>
      <c r="AA54" s="112">
        <f t="shared" si="26"/>
        <v>3605.9188769499997</v>
      </c>
      <c r="AB54" s="112">
        <f t="shared" si="26"/>
        <v>4046.1033803199998</v>
      </c>
      <c r="AC54" s="112">
        <f t="shared" si="26"/>
        <v>4426.8893885199996</v>
      </c>
      <c r="AD54" s="109">
        <f t="shared" si="26"/>
        <v>1036.82399321</v>
      </c>
      <c r="AE54" s="109">
        <f t="shared" si="26"/>
        <v>1284.6978549999999</v>
      </c>
      <c r="AF54" s="109">
        <f t="shared" si="26"/>
        <v>1455.3364140000001</v>
      </c>
      <c r="AG54" s="109">
        <f t="shared" si="26"/>
        <v>1750.838829</v>
      </c>
      <c r="AH54" s="109">
        <f t="shared" si="26"/>
        <v>2136.9652229399999</v>
      </c>
      <c r="AI54" s="109">
        <f t="shared" si="26"/>
        <v>2418.4847510200007</v>
      </c>
      <c r="AJ54" s="109">
        <f t="shared" si="26"/>
        <v>2760.63387616</v>
      </c>
      <c r="AK54" s="109">
        <f t="shared" si="26"/>
        <v>3251.4667818999997</v>
      </c>
      <c r="AL54" s="109">
        <f t="shared" si="26"/>
        <v>3702.7340460800006</v>
      </c>
      <c r="AM54" s="109">
        <f t="shared" si="26"/>
        <v>4088.5476281900005</v>
      </c>
      <c r="AN54" s="109">
        <f t="shared" si="26"/>
        <v>4884.7129522799996</v>
      </c>
      <c r="AO54" s="109">
        <f t="shared" si="26"/>
        <v>5542.60491224</v>
      </c>
      <c r="AP54" s="109">
        <f t="shared" si="26"/>
        <v>5542.60491224</v>
      </c>
    </row>
    <row r="55" spans="2:42">
      <c r="B55" s="106"/>
      <c r="C55" s="37" t="s">
        <v>40</v>
      </c>
      <c r="D55" s="110">
        <f>RGPS_Quantidade_Dezembro_Cálc!D9/1000*RGPS_Valor_Dezembro_Cálculo!D$50</f>
        <v>146.01560000000001</v>
      </c>
      <c r="E55" s="110">
        <f>RGPS_Quantidade_Dezembro_Cálc!E9/1000*RGPS_Valor_Dezembro_Cálculo!E$50</f>
        <v>189.35016000000002</v>
      </c>
      <c r="F55" s="110">
        <f>RGPS_Quantidade_Dezembro_Cálc!F9/1000*RGPS_Valor_Dezembro_Cálculo!F$50</f>
        <v>214.23401999999996</v>
      </c>
      <c r="G55" s="110">
        <f>RGPS_Quantidade_Dezembro_Cálc!G9/1000*RGPS_Valor_Dezembro_Cálculo!G$50</f>
        <v>244.90620000000001</v>
      </c>
      <c r="H55" s="110">
        <f>RGPS_Quantidade_Dezembro_Cálc!H9/1000*RGPS_Valor_Dezembro_Cálculo!H$50</f>
        <v>275.32644999999985</v>
      </c>
      <c r="I55" s="110">
        <f>RGPS_Quantidade_Dezembro_Cálc!I9/1000*RGPS_Valor_Dezembro_Cálculo!I$50</f>
        <v>301.90885999999995</v>
      </c>
      <c r="J55" s="110">
        <f>RGPS_Quantidade_Dezembro_Cálc!J9/1000*RGPS_Valor_Dezembro_Cálculo!J$50</f>
        <v>342.0566950000001</v>
      </c>
      <c r="K55" s="110">
        <f>RGPS_Quantidade_Dezembro_Cálc!K9/1000*RGPS_Valor_Dezembro_Cálculo!K$50</f>
        <v>390.51257999999996</v>
      </c>
      <c r="L55" s="110">
        <f>RGPS_Quantidade_Dezembro_Cálc!L9/1000*RGPS_Valor_Dezembro_Cálculo!L$50</f>
        <v>446.54324999999989</v>
      </c>
      <c r="M55" s="110">
        <f>RGPS_Quantidade_Dezembro_Cálc!M9/1000*RGPS_Valor_Dezembro_Cálculo!M$50</f>
        <v>505.58287500000006</v>
      </c>
      <c r="N55" s="110">
        <f>RGPS_Quantidade_Dezembro_Cálc!N9/1000*RGPS_Valor_Dezembro_Cálculo!N$50</f>
        <v>570.73475999999994</v>
      </c>
      <c r="O55" s="110">
        <f>RGPS_Quantidade_Dezembro_Cálc!O9/1000*RGPS_Valor_Dezembro_Cálculo!O$50</f>
        <v>651.65970000000004</v>
      </c>
      <c r="P55" s="110">
        <f>RGPS_Quantidade_Dezembro_Cálc!P9/1000*RGPS_Valor_Dezembro_Cálculo!P$50</f>
        <v>739.12073999999984</v>
      </c>
      <c r="Q55" s="111">
        <f>RGPS_Quantidade_Dezembro_Cálc!Q9/1000*RGPS_Valor_Dezembro_Cálculo!Q$50</f>
        <v>4.7451999999999313</v>
      </c>
      <c r="R55" s="112">
        <f>RGPS_Quantidade_Dezembro_Cálc!R9/1000*RGPS_Valor_Dezembro_Cálculo!R$50</f>
        <v>6.0902399999998309</v>
      </c>
      <c r="S55" s="112">
        <f>RGPS_Quantidade_Dezembro_Cálc!S9/1000*RGPS_Valor_Dezembro_Cálculo!S$50</f>
        <v>5.9082400000000419</v>
      </c>
      <c r="T55" s="112">
        <f>RGPS_Quantidade_Dezembro_Cálc!T9/1000*RGPS_Valor_Dezembro_Cálculo!T$50</f>
        <v>6.334199999999873</v>
      </c>
      <c r="U55" s="112">
        <f>RGPS_Quantidade_Dezembro_Cálc!U9/1000*RGPS_Valor_Dezembro_Cálculo!U$50</f>
        <v>6.6867500000001652</v>
      </c>
      <c r="V55" s="112">
        <f>RGPS_Quantidade_Dezembro_Cálc!V9/1000*RGPS_Valor_Dezembro_Cálculo!V$50</f>
        <v>7.154260000000086</v>
      </c>
      <c r="W55" s="112">
        <f>RGPS_Quantidade_Dezembro_Cálc!W9/1000*RGPS_Valor_Dezembro_Cálculo!W$50</f>
        <v>7.8260700000000716</v>
      </c>
      <c r="X55" s="112">
        <f>RGPS_Quantidade_Dezembro_Cálc!X9/1000*RGPS_Valor_Dezembro_Cálculo!X$50</f>
        <v>8.5271700000003019</v>
      </c>
      <c r="Y55" s="112">
        <f>RGPS_Quantidade_Dezembro_Cálc!Y9/1000*RGPS_Valor_Dezembro_Cálculo!Y$50</f>
        <v>9.6405300000001262</v>
      </c>
      <c r="Z55" s="112">
        <f>RGPS_Quantidade_Dezembro_Cálc!Z9/1000*RGPS_Valor_Dezembro_Cálculo!Z$50</f>
        <v>10.891280000000208</v>
      </c>
      <c r="AA55" s="112">
        <f>RGPS_Quantidade_Dezembro_Cálc!AA9/1000*RGPS_Valor_Dezembro_Cálculo!AA$50</f>
        <v>11.927471999999673</v>
      </c>
      <c r="AB55" s="112">
        <f>RGPS_Quantidade_Dezembro_Cálc!AB9/1000*RGPS_Valor_Dezembro_Cálculo!AB$50</f>
        <v>13.469826000000129</v>
      </c>
      <c r="AC55" s="112">
        <f>RGPS_Quantidade_Dezembro_Cálc!AC9/1000*RGPS_Valor_Dezembro_Cálculo!AC$50</f>
        <v>15.3683479999999</v>
      </c>
      <c r="AD55" s="109">
        <f>RGPS_Quantidade_Dezembro_Cálc!AD9/1000*RGPS_Valor_Dezembro_Cálculo!AD$50</f>
        <v>150.76080000000002</v>
      </c>
      <c r="AE55" s="109">
        <f>RGPS_Quantidade_Dezembro_Cálc!AE9/1000*RGPS_Valor_Dezembro_Cálculo!AE$50</f>
        <v>195.44040000000001</v>
      </c>
      <c r="AF55" s="109">
        <f>RGPS_Quantidade_Dezembro_Cálc!AF9/1000*RGPS_Valor_Dezembro_Cálculo!AF$50</f>
        <v>220.14226000000002</v>
      </c>
      <c r="AG55" s="109">
        <f>RGPS_Quantidade_Dezembro_Cálc!AG9/1000*RGPS_Valor_Dezembro_Cálculo!AG$50</f>
        <v>251.24039999999997</v>
      </c>
      <c r="AH55" s="109">
        <f>RGPS_Quantidade_Dezembro_Cálc!AH9/1000*RGPS_Valor_Dezembro_Cálculo!AH$50</f>
        <v>282.0132000000001</v>
      </c>
      <c r="AI55" s="109">
        <f>RGPS_Quantidade_Dezembro_Cálc!AI9/1000*RGPS_Valor_Dezembro_Cálculo!AI$50</f>
        <v>309.06311999999986</v>
      </c>
      <c r="AJ55" s="109">
        <f>RGPS_Quantidade_Dezembro_Cálc!AJ9/1000*RGPS_Valor_Dezembro_Cálculo!AJ$50</f>
        <v>349.88276499999978</v>
      </c>
      <c r="AK55" s="109">
        <f>RGPS_Quantidade_Dezembro_Cálc!AK9/1000*RGPS_Valor_Dezembro_Cálculo!AK$50</f>
        <v>399.03975000000025</v>
      </c>
      <c r="AL55" s="109">
        <f>RGPS_Quantidade_Dezembro_Cálc!AL9/1000*RGPS_Valor_Dezembro_Cálculo!AL$50</f>
        <v>456.18378000000007</v>
      </c>
      <c r="AM55" s="109">
        <f>RGPS_Quantidade_Dezembro_Cálc!AM9/1000*RGPS_Valor_Dezembro_Cálculo!AM$50</f>
        <v>516.47415499999988</v>
      </c>
      <c r="AN55" s="109">
        <f>RGPS_Quantidade_Dezembro_Cálc!AN9/1000*RGPS_Valor_Dezembro_Cálculo!AN$50</f>
        <v>582.66223200000024</v>
      </c>
      <c r="AO55" s="109">
        <f>RGPS_Quantidade_Dezembro_Cálc!AO9/1000*RGPS_Valor_Dezembro_Cálculo!AO$50</f>
        <v>665.12952599999926</v>
      </c>
      <c r="AP55" s="109">
        <f>RGPS_Quantidade_Dezembro_Cálc!AP9/1000*RGPS_Valor_Dezembro_Cálculo!AP$50</f>
        <v>754.48908799999981</v>
      </c>
    </row>
    <row r="56" spans="2:42">
      <c r="B56" s="106" t="s">
        <v>23</v>
      </c>
      <c r="C56" s="37" t="s">
        <v>22</v>
      </c>
      <c r="D56" s="110">
        <f>D11</f>
        <v>259.11518167999981</v>
      </c>
      <c r="E56" s="110">
        <f t="shared" ref="E56:AP56" si="27">E11</f>
        <v>303.31803200000002</v>
      </c>
      <c r="F56" s="110">
        <f t="shared" si="27"/>
        <v>331.42474299999998</v>
      </c>
      <c r="G56" s="110">
        <f t="shared" si="27"/>
        <v>406.18817899999999</v>
      </c>
      <c r="H56" s="110">
        <f t="shared" si="27"/>
        <v>495.89065458000096</v>
      </c>
      <c r="I56" s="110">
        <f t="shared" si="27"/>
        <v>549.29405714000063</v>
      </c>
      <c r="J56" s="110">
        <f t="shared" si="27"/>
        <v>610.81882234000375</v>
      </c>
      <c r="K56" s="110">
        <f t="shared" si="27"/>
        <v>701.73122266999701</v>
      </c>
      <c r="L56" s="110">
        <f t="shared" si="27"/>
        <v>764.69146252999803</v>
      </c>
      <c r="M56" s="110">
        <f t="shared" si="27"/>
        <v>811.98455752999178</v>
      </c>
      <c r="N56" s="110">
        <f t="shared" si="27"/>
        <v>974.60960999000099</v>
      </c>
      <c r="O56" s="110">
        <f t="shared" si="27"/>
        <v>1060.4939353899949</v>
      </c>
      <c r="P56" s="110">
        <f t="shared" si="27"/>
        <v>1136.4366624100001</v>
      </c>
      <c r="Q56" s="111">
        <f t="shared" si="27"/>
        <v>81.109973739999987</v>
      </c>
      <c r="R56" s="112">
        <f t="shared" si="27"/>
        <v>97.790559999999999</v>
      </c>
      <c r="S56" s="112">
        <f t="shared" si="27"/>
        <v>107.02420600000001</v>
      </c>
      <c r="T56" s="112">
        <f t="shared" si="27"/>
        <v>127.712875</v>
      </c>
      <c r="U56" s="112">
        <f t="shared" si="27"/>
        <v>150.25443008000002</v>
      </c>
      <c r="V56" s="112">
        <f t="shared" si="27"/>
        <v>160.87083505000004</v>
      </c>
      <c r="W56" s="112">
        <f t="shared" si="27"/>
        <v>176.72910970999999</v>
      </c>
      <c r="X56" s="112">
        <f t="shared" si="27"/>
        <v>199.12159785999998</v>
      </c>
      <c r="Y56" s="112">
        <f t="shared" si="27"/>
        <v>219.96849431999993</v>
      </c>
      <c r="Z56" s="112">
        <f t="shared" si="27"/>
        <v>236.62603250999993</v>
      </c>
      <c r="AA56" s="112">
        <f t="shared" si="27"/>
        <v>273.49701965999986</v>
      </c>
      <c r="AB56" s="112">
        <f t="shared" si="27"/>
        <v>302.32205791999985</v>
      </c>
      <c r="AC56" s="112">
        <f t="shared" si="27"/>
        <v>328.39602520999989</v>
      </c>
      <c r="AD56" s="109">
        <f t="shared" si="27"/>
        <v>340.22515541999985</v>
      </c>
      <c r="AE56" s="109">
        <f t="shared" si="27"/>
        <v>401.10859199999999</v>
      </c>
      <c r="AF56" s="109">
        <f t="shared" si="27"/>
        <v>438.44894900000003</v>
      </c>
      <c r="AG56" s="109">
        <f t="shared" si="27"/>
        <v>533.90105400000004</v>
      </c>
      <c r="AH56" s="109">
        <f t="shared" si="27"/>
        <v>646.14508466000109</v>
      </c>
      <c r="AI56" s="109">
        <f t="shared" si="27"/>
        <v>710.16489219000061</v>
      </c>
      <c r="AJ56" s="109">
        <f t="shared" si="27"/>
        <v>787.54793205000374</v>
      </c>
      <c r="AK56" s="109">
        <f t="shared" si="27"/>
        <v>900.85282052999696</v>
      </c>
      <c r="AL56" s="109">
        <f t="shared" si="27"/>
        <v>984.65995684999803</v>
      </c>
      <c r="AM56" s="109">
        <f t="shared" si="27"/>
        <v>1048.6105900399916</v>
      </c>
      <c r="AN56" s="109">
        <f t="shared" si="27"/>
        <v>1248.1066296500007</v>
      </c>
      <c r="AO56" s="109">
        <f t="shared" si="27"/>
        <v>1362.8159933099948</v>
      </c>
      <c r="AP56" s="109">
        <f t="shared" si="27"/>
        <v>1362.8159933099948</v>
      </c>
    </row>
    <row r="57" spans="2:42">
      <c r="B57" s="106"/>
      <c r="C57" s="37" t="s">
        <v>40</v>
      </c>
      <c r="D57" s="110">
        <f>RGPS_Quantidade_Dezembro_Cálc!D12/1000*RGPS_Valor_Dezembro_Cálculo!D$50</f>
        <v>147.0018</v>
      </c>
      <c r="E57" s="110">
        <f>RGPS_Quantidade_Dezembro_Cálc!E12/1000*RGPS_Valor_Dezembro_Cálculo!E$50</f>
        <v>201.05111999999997</v>
      </c>
      <c r="F57" s="110">
        <f>RGPS_Quantidade_Dezembro_Cálc!F12/1000*RGPS_Valor_Dezembro_Cálculo!F$50</f>
        <v>242.81764000000001</v>
      </c>
      <c r="G57" s="110">
        <f>RGPS_Quantidade_Dezembro_Cálc!G12/1000*RGPS_Valor_Dezembro_Cálculo!G$50</f>
        <v>299.65409999999991</v>
      </c>
      <c r="H57" s="110">
        <f>RGPS_Quantidade_Dezembro_Cálc!H12/1000*RGPS_Valor_Dezembro_Cálculo!H$50</f>
        <v>351.10389999999995</v>
      </c>
      <c r="I57" s="110">
        <f>RGPS_Quantidade_Dezembro_Cálc!I12/1000*RGPS_Valor_Dezembro_Cálculo!I$50</f>
        <v>379.03100000000001</v>
      </c>
      <c r="J57" s="110">
        <f>RGPS_Quantidade_Dezembro_Cálc!J12/1000*RGPS_Valor_Dezembro_Cálculo!J$50</f>
        <v>437.79594999999995</v>
      </c>
      <c r="K57" s="110">
        <f>RGPS_Quantidade_Dezembro_Cálc!K12/1000*RGPS_Valor_Dezembro_Cálculo!K$50</f>
        <v>505.87815000000006</v>
      </c>
      <c r="L57" s="110">
        <f>RGPS_Quantidade_Dezembro_Cálc!L12/1000*RGPS_Valor_Dezembro_Cálculo!L$50</f>
        <v>589.46616000000006</v>
      </c>
      <c r="M57" s="110">
        <f>RGPS_Quantidade_Dezembro_Cálc!M12/1000*RGPS_Valor_Dezembro_Cálculo!M$50</f>
        <v>665.66354500000023</v>
      </c>
      <c r="N57" s="110">
        <f>RGPS_Quantidade_Dezembro_Cálc!N12/1000*RGPS_Valor_Dezembro_Cálculo!N$50</f>
        <v>748.18202999999994</v>
      </c>
      <c r="O57" s="110">
        <f>RGPS_Quantidade_Dezembro_Cálc!O12/1000*RGPS_Valor_Dezembro_Cálculo!O$50</f>
        <v>856.51604399999985</v>
      </c>
      <c r="P57" s="110">
        <f>RGPS_Quantidade_Dezembro_Cálc!P12/1000*RGPS_Valor_Dezembro_Cálculo!P$50</f>
        <v>949.66500800000017</v>
      </c>
      <c r="Q57" s="111">
        <f>RGPS_Quantidade_Dezembro_Cálc!Q12/1000*RGPS_Valor_Dezembro_Cálculo!Q$50</f>
        <v>3.6766000000000076</v>
      </c>
      <c r="R57" s="112">
        <f>RGPS_Quantidade_Dezembro_Cálc!R12/1000*RGPS_Valor_Dezembro_Cálculo!R$50</f>
        <v>5.1295199999999976</v>
      </c>
      <c r="S57" s="112">
        <f>RGPS_Quantidade_Dezembro_Cálc!S12/1000*RGPS_Valor_Dezembro_Cálculo!S$50</f>
        <v>5.7033599999999947</v>
      </c>
      <c r="T57" s="112">
        <f>RGPS_Quantidade_Dezembro_Cálc!T12/1000*RGPS_Valor_Dezembro_Cálculo!T$50</f>
        <v>6.0800999999999989</v>
      </c>
      <c r="U57" s="112">
        <f>RGPS_Quantidade_Dezembro_Cálc!U12/1000*RGPS_Valor_Dezembro_Cálculo!U$50</f>
        <v>5.8670500000000123</v>
      </c>
      <c r="V57" s="112">
        <f>RGPS_Quantidade_Dezembro_Cálc!V12/1000*RGPS_Valor_Dezembro_Cálculo!V$50</f>
        <v>5.7246999999999995</v>
      </c>
      <c r="W57" s="112">
        <f>RGPS_Quantidade_Dezembro_Cálc!W12/1000*RGPS_Valor_Dezembro_Cálculo!W$50</f>
        <v>5.7157950000000106</v>
      </c>
      <c r="X57" s="112">
        <f>RGPS_Quantidade_Dezembro_Cálc!X12/1000*RGPS_Valor_Dezembro_Cálculo!X$50</f>
        <v>5.6655600000000126</v>
      </c>
      <c r="Y57" s="112">
        <f>RGPS_Quantidade_Dezembro_Cálc!Y12/1000*RGPS_Valor_Dezembro_Cálculo!Y$50</f>
        <v>5.9231399999999876</v>
      </c>
      <c r="Z57" s="112">
        <f>RGPS_Quantidade_Dezembro_Cálc!Z12/1000*RGPS_Valor_Dezembro_Cálculo!Z$50</f>
        <v>6.1612250000000035</v>
      </c>
      <c r="AA57" s="112">
        <f>RGPS_Quantidade_Dezembro_Cálc!AA12/1000*RGPS_Valor_Dezembro_Cálculo!AA$50</f>
        <v>5.9954579999999709</v>
      </c>
      <c r="AB57" s="112">
        <f>RGPS_Quantidade_Dezembro_Cálc!AB12/1000*RGPS_Valor_Dezembro_Cálculo!AB$50</f>
        <v>6.2226839999999983</v>
      </c>
      <c r="AC57" s="112">
        <f>RGPS_Quantidade_Dezembro_Cálc!AC12/1000*RGPS_Valor_Dezembro_Cálculo!AC$50</f>
        <v>6.4233280000000095</v>
      </c>
      <c r="AD57" s="109">
        <f>RGPS_Quantidade_Dezembro_Cálc!AD12/1000*RGPS_Valor_Dezembro_Cálculo!AD$50</f>
        <v>150.67840000000001</v>
      </c>
      <c r="AE57" s="109">
        <f>RGPS_Quantidade_Dezembro_Cálc!AE12/1000*RGPS_Valor_Dezembro_Cálculo!AE$50</f>
        <v>206.18063999999995</v>
      </c>
      <c r="AF57" s="109">
        <f>RGPS_Quantidade_Dezembro_Cálc!AF12/1000*RGPS_Valor_Dezembro_Cálculo!AF$50</f>
        <v>248.52100000000002</v>
      </c>
      <c r="AG57" s="109">
        <f>RGPS_Quantidade_Dezembro_Cálc!AG12/1000*RGPS_Valor_Dezembro_Cálculo!AG$50</f>
        <v>305.73420000000004</v>
      </c>
      <c r="AH57" s="109">
        <f>RGPS_Quantidade_Dezembro_Cálc!AH12/1000*RGPS_Valor_Dezembro_Cálculo!AH$50</f>
        <v>356.9709499999999</v>
      </c>
      <c r="AI57" s="109">
        <f>RGPS_Quantidade_Dezembro_Cálc!AI12/1000*RGPS_Valor_Dezembro_Cálculo!AI$50</f>
        <v>384.75570000000005</v>
      </c>
      <c r="AJ57" s="109">
        <f>RGPS_Quantidade_Dezembro_Cálc!AJ12/1000*RGPS_Valor_Dezembro_Cálculo!AJ$50</f>
        <v>443.51174499999991</v>
      </c>
      <c r="AK57" s="109">
        <f>RGPS_Quantidade_Dezembro_Cálc!AK12/1000*RGPS_Valor_Dezembro_Cálculo!AK$50</f>
        <v>511.54371000000003</v>
      </c>
      <c r="AL57" s="109">
        <f>RGPS_Quantidade_Dezembro_Cálc!AL12/1000*RGPS_Valor_Dezembro_Cálculo!AL$50</f>
        <v>595.38929999999993</v>
      </c>
      <c r="AM57" s="109">
        <f>RGPS_Quantidade_Dezembro_Cálc!AM12/1000*RGPS_Valor_Dezembro_Cálculo!AM$50</f>
        <v>671.82476999999983</v>
      </c>
      <c r="AN57" s="109">
        <f>RGPS_Quantidade_Dezembro_Cálc!AN12/1000*RGPS_Valor_Dezembro_Cálculo!AN$50</f>
        <v>754.17748800000004</v>
      </c>
      <c r="AO57" s="109">
        <f>RGPS_Quantidade_Dezembro_Cálc!AO12/1000*RGPS_Valor_Dezembro_Cálculo!AO$50</f>
        <v>862.73872799999992</v>
      </c>
      <c r="AP57" s="109">
        <f>RGPS_Quantidade_Dezembro_Cálc!AP12/1000*RGPS_Valor_Dezembro_Cálculo!AP$50</f>
        <v>956.08833600000025</v>
      </c>
    </row>
    <row r="58" spans="2:42">
      <c r="B58" s="106" t="s">
        <v>24</v>
      </c>
      <c r="C58" s="37" t="s">
        <v>22</v>
      </c>
      <c r="D58" s="110">
        <f>D14</f>
        <v>417.05916162002944</v>
      </c>
      <c r="E58" s="110">
        <f t="shared" ref="E58:AP58" si="28">E14</f>
        <v>496.79283099999998</v>
      </c>
      <c r="F58" s="110">
        <f t="shared" si="28"/>
        <v>545.19372599999997</v>
      </c>
      <c r="G58" s="110">
        <f t="shared" si="28"/>
        <v>658.85176000000001</v>
      </c>
      <c r="H58" s="110">
        <f t="shared" si="28"/>
        <v>802.03296320001323</v>
      </c>
      <c r="I58" s="110">
        <f t="shared" si="28"/>
        <v>902.25611029002391</v>
      </c>
      <c r="J58" s="110">
        <f t="shared" si="28"/>
        <v>1009.1575012900216</v>
      </c>
      <c r="K58" s="110">
        <f t="shared" si="28"/>
        <v>1167.495029569973</v>
      </c>
      <c r="L58" s="110">
        <f t="shared" si="28"/>
        <v>1282.7294959700068</v>
      </c>
      <c r="M58" s="110">
        <f t="shared" si="28"/>
        <v>1372.6797490200004</v>
      </c>
      <c r="N58" s="110">
        <f t="shared" si="28"/>
        <v>1656.8743797000541</v>
      </c>
      <c r="O58" s="110">
        <f t="shared" si="28"/>
        <v>1824.9557335899467</v>
      </c>
      <c r="P58" s="110">
        <f t="shared" si="28"/>
        <v>1961.92283441</v>
      </c>
      <c r="Q58" s="111">
        <f t="shared" si="28"/>
        <v>333.17232628000016</v>
      </c>
      <c r="R58" s="112">
        <f t="shared" si="28"/>
        <v>409.81755700000002</v>
      </c>
      <c r="S58" s="112">
        <f t="shared" si="28"/>
        <v>456.412462</v>
      </c>
      <c r="T58" s="112">
        <f t="shared" si="28"/>
        <v>541.820018</v>
      </c>
      <c r="U58" s="112">
        <f t="shared" si="28"/>
        <v>648.68570266999836</v>
      </c>
      <c r="V58" s="112">
        <f t="shared" si="28"/>
        <v>724.73289996999688</v>
      </c>
      <c r="W58" s="112">
        <f t="shared" si="28"/>
        <v>815.66396012999701</v>
      </c>
      <c r="X58" s="112">
        <f t="shared" si="28"/>
        <v>939.74005195999666</v>
      </c>
      <c r="Y58" s="112">
        <f t="shared" si="28"/>
        <v>1055.7787277500004</v>
      </c>
      <c r="Z58" s="112">
        <f t="shared" si="28"/>
        <v>1154.0036555799945</v>
      </c>
      <c r="AA58" s="112">
        <f t="shared" si="28"/>
        <v>1350.2753978500018</v>
      </c>
      <c r="AB58" s="112">
        <f t="shared" si="28"/>
        <v>1506.417919049997</v>
      </c>
      <c r="AC58" s="112">
        <f t="shared" si="28"/>
        <v>1639.68368639</v>
      </c>
      <c r="AD58" s="109">
        <f t="shared" si="28"/>
        <v>750.23148790002949</v>
      </c>
      <c r="AE58" s="109">
        <f t="shared" si="28"/>
        <v>906.61038799999994</v>
      </c>
      <c r="AF58" s="109">
        <f t="shared" si="28"/>
        <v>1001.606188</v>
      </c>
      <c r="AG58" s="109">
        <f t="shared" si="28"/>
        <v>1200.6717779999999</v>
      </c>
      <c r="AH58" s="109">
        <f t="shared" si="28"/>
        <v>1450.7186658700118</v>
      </c>
      <c r="AI58" s="109">
        <f t="shared" si="28"/>
        <v>1626.9890102600207</v>
      </c>
      <c r="AJ58" s="109">
        <f t="shared" si="28"/>
        <v>1824.8214614200185</v>
      </c>
      <c r="AK58" s="109">
        <f t="shared" si="28"/>
        <v>2107.2350815299696</v>
      </c>
      <c r="AL58" s="109">
        <f t="shared" si="28"/>
        <v>2338.5082237200072</v>
      </c>
      <c r="AM58" s="109">
        <f t="shared" si="28"/>
        <v>2526.6834045999954</v>
      </c>
      <c r="AN58" s="109">
        <f t="shared" si="28"/>
        <v>3007.1497775500561</v>
      </c>
      <c r="AO58" s="109">
        <f t="shared" si="28"/>
        <v>3331.3736526399434</v>
      </c>
      <c r="AP58" s="109">
        <f t="shared" si="28"/>
        <v>3331.3736526399434</v>
      </c>
    </row>
    <row r="59" spans="2:42">
      <c r="B59" s="106"/>
      <c r="C59" s="37" t="s">
        <v>40</v>
      </c>
      <c r="D59" s="110">
        <f>RGPS_Quantidade_Dezembro_Cálc!D15/1000*RGPS_Valor_Dezembro_Cálculo!D$50</f>
        <v>329.36340000000001</v>
      </c>
      <c r="E59" s="110">
        <f>RGPS_Quantidade_Dezembro_Cálc!E15/1000*RGPS_Valor_Dezembro_Cálculo!E$50</f>
        <v>415.92048</v>
      </c>
      <c r="F59" s="110">
        <f>RGPS_Quantidade_Dezembro_Cálc!F15/1000*RGPS_Valor_Dezembro_Cálculo!F$50</f>
        <v>481.45577999999995</v>
      </c>
      <c r="G59" s="110">
        <f>RGPS_Quantidade_Dezembro_Cálc!G15/1000*RGPS_Valor_Dezembro_Cálculo!G$50</f>
        <v>545.24159999999995</v>
      </c>
      <c r="H59" s="110">
        <f>RGPS_Quantidade_Dezembro_Cálc!H15/1000*RGPS_Valor_Dezembro_Cálculo!H$50</f>
        <v>632.79790000000003</v>
      </c>
      <c r="I59" s="110">
        <f>RGPS_Quantidade_Dezembro_Cálc!I15/1000*RGPS_Valor_Dezembro_Cálculo!I$50</f>
        <v>697.88975999999991</v>
      </c>
      <c r="J59" s="110">
        <f>RGPS_Quantidade_Dezembro_Cálc!J15/1000*RGPS_Valor_Dezembro_Cálculo!J$50</f>
        <v>788.04889500000002</v>
      </c>
      <c r="K59" s="110">
        <f>RGPS_Quantidade_Dezembro_Cálc!K15/1000*RGPS_Valor_Dezembro_Cálculo!K$50</f>
        <v>901.93213500000024</v>
      </c>
      <c r="L59" s="110">
        <f>RGPS_Quantidade_Dezembro_Cálc!L15/1000*RGPS_Valor_Dezembro_Cálculo!L$50</f>
        <v>1046.4363599999999</v>
      </c>
      <c r="M59" s="110">
        <f>RGPS_Quantidade_Dezembro_Cálc!M15/1000*RGPS_Valor_Dezembro_Cálculo!M$50</f>
        <v>1177.51719</v>
      </c>
      <c r="N59" s="110">
        <f>RGPS_Quantidade_Dezembro_Cálc!N15/1000*RGPS_Valor_Dezembro_Cálculo!N$50</f>
        <v>1326.4610279999997</v>
      </c>
      <c r="O59" s="110">
        <f>RGPS_Quantidade_Dezembro_Cálc!O15/1000*RGPS_Valor_Dezembro_Cálculo!O$50</f>
        <v>1510.1310960000001</v>
      </c>
      <c r="P59" s="110">
        <f>RGPS_Quantidade_Dezembro_Cálc!P15/1000*RGPS_Valor_Dezembro_Cálculo!P$50</f>
        <v>1677.3081759999998</v>
      </c>
      <c r="Q59" s="111">
        <f>RGPS_Quantidade_Dezembro_Cálc!Q15/1000*RGPS_Valor_Dezembro_Cálculo!Q$50</f>
        <v>5.6023999999999887</v>
      </c>
      <c r="R59" s="112">
        <f>RGPS_Quantidade_Dezembro_Cálc!R15/1000*RGPS_Valor_Dezembro_Cálculo!R$50</f>
        <v>7.5208800000000524</v>
      </c>
      <c r="S59" s="112">
        <f>RGPS_Quantidade_Dezembro_Cálc!S15/1000*RGPS_Valor_Dezembro_Cálculo!S$50</f>
        <v>8.2438200000000279</v>
      </c>
      <c r="T59" s="112">
        <f>RGPS_Quantidade_Dezembro_Cálc!T15/1000*RGPS_Valor_Dezembro_Cálculo!T$50</f>
        <v>8.0814000000000306</v>
      </c>
      <c r="U59" s="112">
        <f>RGPS_Quantidade_Dezembro_Cálc!U15/1000*RGPS_Valor_Dezembro_Cálculo!U$50</f>
        <v>8.2281500000000047</v>
      </c>
      <c r="V59" s="112">
        <f>RGPS_Quantidade_Dezembro_Cálc!V15/1000*RGPS_Valor_Dezembro_Cálculo!V$50</f>
        <v>8.3390999999999753</v>
      </c>
      <c r="W59" s="112">
        <f>RGPS_Quantidade_Dezembro_Cálc!W15/1000*RGPS_Valor_Dezembro_Cálculo!W$50</f>
        <v>8.9785249999999959</v>
      </c>
      <c r="X59" s="112">
        <f>RGPS_Quantidade_Dezembro_Cálc!X15/1000*RGPS_Valor_Dezembro_Cálculo!X$50</f>
        <v>9.5924849999999555</v>
      </c>
      <c r="Y59" s="112">
        <f>RGPS_Quantidade_Dezembro_Cálc!Y15/1000*RGPS_Valor_Dezembro_Cálculo!Y$50</f>
        <v>11.127179999999877</v>
      </c>
      <c r="Z59" s="112">
        <f>RGPS_Quantidade_Dezembro_Cálc!Z15/1000*RGPS_Valor_Dezembro_Cálculo!Z$50</f>
        <v>12.22217000000021</v>
      </c>
      <c r="AA59" s="112">
        <f>RGPS_Quantidade_Dezembro_Cálc!AA15/1000*RGPS_Valor_Dezembro_Cálculo!AA$50</f>
        <v>12.052493999999971</v>
      </c>
      <c r="AB59" s="112">
        <f>RGPS_Quantidade_Dezembro_Cálc!AB15/1000*RGPS_Valor_Dezembro_Cálculo!AB$50</f>
        <v>13.35456600000008</v>
      </c>
      <c r="AC59" s="112">
        <f>RGPS_Quantidade_Dezembro_Cálc!AC15/1000*RGPS_Valor_Dezembro_Cálculo!AC$50</f>
        <v>14.371399999999934</v>
      </c>
      <c r="AD59" s="109">
        <f>RGPS_Quantidade_Dezembro_Cálc!AD15/1000*RGPS_Valor_Dezembro_Cálculo!AD$50</f>
        <v>334.9658</v>
      </c>
      <c r="AE59" s="109">
        <f>RGPS_Quantidade_Dezembro_Cálc!AE15/1000*RGPS_Valor_Dezembro_Cálculo!AE$50</f>
        <v>423.44136000000009</v>
      </c>
      <c r="AF59" s="109">
        <f>RGPS_Quantidade_Dezembro_Cálc!AF15/1000*RGPS_Valor_Dezembro_Cálculo!AF$50</f>
        <v>489.69960000000003</v>
      </c>
      <c r="AG59" s="109">
        <f>RGPS_Quantidade_Dezembro_Cálc!AG15/1000*RGPS_Valor_Dezembro_Cálculo!AG$50</f>
        <v>553.32300000000009</v>
      </c>
      <c r="AH59" s="109">
        <f>RGPS_Quantidade_Dezembro_Cálc!AH15/1000*RGPS_Valor_Dezembro_Cálculo!AH$50</f>
        <v>641.02604999999983</v>
      </c>
      <c r="AI59" s="109">
        <f>RGPS_Quantidade_Dezembro_Cálc!AI15/1000*RGPS_Valor_Dezembro_Cálculo!AI$50</f>
        <v>706.22886000000005</v>
      </c>
      <c r="AJ59" s="109">
        <f>RGPS_Quantidade_Dezembro_Cálc!AJ15/1000*RGPS_Valor_Dezembro_Cálculo!AJ$50</f>
        <v>797.02741999999989</v>
      </c>
      <c r="AK59" s="109">
        <f>RGPS_Quantidade_Dezembro_Cálc!AK15/1000*RGPS_Valor_Dezembro_Cálculo!AK$50</f>
        <v>911.52462000000003</v>
      </c>
      <c r="AL59" s="109">
        <f>RGPS_Quantidade_Dezembro_Cálc!AL15/1000*RGPS_Valor_Dezembro_Cálculo!AL$50</f>
        <v>1057.5635399999996</v>
      </c>
      <c r="AM59" s="109">
        <f>RGPS_Quantidade_Dezembro_Cálc!AM15/1000*RGPS_Valor_Dezembro_Cálculo!AM$50</f>
        <v>1189.7393599999998</v>
      </c>
      <c r="AN59" s="109">
        <f>RGPS_Quantidade_Dezembro_Cálc!AN15/1000*RGPS_Valor_Dezembro_Cálculo!AN$50</f>
        <v>1338.513522</v>
      </c>
      <c r="AO59" s="109">
        <f>RGPS_Quantidade_Dezembro_Cálc!AO15/1000*RGPS_Valor_Dezembro_Cálculo!AO$50</f>
        <v>1523.4856619999996</v>
      </c>
      <c r="AP59" s="109">
        <f>RGPS_Quantidade_Dezembro_Cálc!AP15/1000*RGPS_Valor_Dezembro_Cálculo!AP$50</f>
        <v>1691.6795759999998</v>
      </c>
    </row>
    <row r="60" spans="2:42">
      <c r="B60" s="106" t="s">
        <v>49</v>
      </c>
      <c r="C60" s="37" t="s">
        <v>22</v>
      </c>
      <c r="D60" s="110">
        <f>D17</f>
        <v>35.414613789999905</v>
      </c>
      <c r="E60" s="110">
        <f t="shared" ref="E60:AP60" si="29">E17</f>
        <v>47.602449999999997</v>
      </c>
      <c r="F60" s="110">
        <f t="shared" si="29"/>
        <v>74.528964999999999</v>
      </c>
      <c r="G60" s="110">
        <f t="shared" si="29"/>
        <v>100.517821</v>
      </c>
      <c r="H60" s="110">
        <f t="shared" si="29"/>
        <v>131.24130326999997</v>
      </c>
      <c r="I60" s="110">
        <f t="shared" si="29"/>
        <v>130.29183846999979</v>
      </c>
      <c r="J60" s="110">
        <f t="shared" si="29"/>
        <v>138.77201667999958</v>
      </c>
      <c r="K60" s="110">
        <f t="shared" si="29"/>
        <v>159.52635717999937</v>
      </c>
      <c r="L60" s="110">
        <f t="shared" si="29"/>
        <v>201.33852319000101</v>
      </c>
      <c r="M60" s="110">
        <f t="shared" si="29"/>
        <v>217.72551172000027</v>
      </c>
      <c r="N60" s="110">
        <f t="shared" si="29"/>
        <v>298.86092069000102</v>
      </c>
      <c r="O60" s="110">
        <f t="shared" si="29"/>
        <v>356.35052936999989</v>
      </c>
      <c r="P60" s="110">
        <f t="shared" si="29"/>
        <v>391.68138543000003</v>
      </c>
      <c r="Q60" s="111">
        <f t="shared" si="29"/>
        <v>21.481862260000003</v>
      </c>
      <c r="R60" s="112">
        <f t="shared" si="29"/>
        <v>31.410387</v>
      </c>
      <c r="S60" s="112">
        <f t="shared" si="29"/>
        <v>38.844189</v>
      </c>
      <c r="T60" s="112">
        <f t="shared" si="29"/>
        <v>44.801031999999999</v>
      </c>
      <c r="U60" s="112">
        <f t="shared" si="29"/>
        <v>47.06223507</v>
      </c>
      <c r="V60" s="112">
        <f t="shared" si="29"/>
        <v>48.040293909999995</v>
      </c>
      <c r="W60" s="112">
        <f t="shared" si="29"/>
        <v>52.253363989999997</v>
      </c>
      <c r="X60" s="112">
        <f t="shared" si="29"/>
        <v>59.547946639999999</v>
      </c>
      <c r="Y60" s="112">
        <f t="shared" si="29"/>
        <v>75.143258189999997</v>
      </c>
      <c r="Z60" s="112">
        <f t="shared" si="29"/>
        <v>83.451773500000002</v>
      </c>
      <c r="AA60" s="112">
        <f t="shared" si="29"/>
        <v>103.46900710999998</v>
      </c>
      <c r="AB60" s="112">
        <f t="shared" si="29"/>
        <v>126.29953239</v>
      </c>
      <c r="AC60" s="112">
        <f t="shared" si="29"/>
        <v>145.02067724999998</v>
      </c>
      <c r="AD60" s="109">
        <f t="shared" si="29"/>
        <v>56.896476049999897</v>
      </c>
      <c r="AE60" s="109">
        <f t="shared" si="29"/>
        <v>79.012837000000005</v>
      </c>
      <c r="AF60" s="109">
        <f t="shared" si="29"/>
        <v>113.373154</v>
      </c>
      <c r="AG60" s="109">
        <f t="shared" si="29"/>
        <v>145.31885299999999</v>
      </c>
      <c r="AH60" s="109">
        <f t="shared" si="29"/>
        <v>178.30353833999996</v>
      </c>
      <c r="AI60" s="109">
        <f t="shared" si="29"/>
        <v>178.33213237999979</v>
      </c>
      <c r="AJ60" s="109">
        <f t="shared" si="29"/>
        <v>191.02538066999961</v>
      </c>
      <c r="AK60" s="109">
        <f t="shared" si="29"/>
        <v>219.07430381999933</v>
      </c>
      <c r="AL60" s="109">
        <f t="shared" si="29"/>
        <v>276.481781380001</v>
      </c>
      <c r="AM60" s="109">
        <f t="shared" si="29"/>
        <v>301.17728522000027</v>
      </c>
      <c r="AN60" s="109">
        <f t="shared" si="29"/>
        <v>402.32992780000103</v>
      </c>
      <c r="AO60" s="109">
        <f t="shared" si="29"/>
        <v>482.65006175999986</v>
      </c>
      <c r="AP60" s="109">
        <f t="shared" si="29"/>
        <v>482.65006175999986</v>
      </c>
    </row>
    <row r="61" spans="2:42">
      <c r="B61" s="106"/>
      <c r="C61" s="37" t="s">
        <v>40</v>
      </c>
      <c r="D61" s="110">
        <f>RGPS_Quantidade_Dezembro_Cálc!D18/1000*RGPS_Valor_Dezembro_Cálculo!D$50</f>
        <v>130.98519999999999</v>
      </c>
      <c r="E61" s="110">
        <f>RGPS_Quantidade_Dezembro_Cálc!E18/1000*RGPS_Valor_Dezembro_Cálculo!E$50</f>
        <v>207.00144000000003</v>
      </c>
      <c r="F61" s="110">
        <f>RGPS_Quantidade_Dezembro_Cálc!F18/1000*RGPS_Valor_Dezembro_Cálculo!F$50</f>
        <v>276.93068</v>
      </c>
      <c r="G61" s="110">
        <f>RGPS_Quantidade_Dezembro_Cálc!G18/1000*RGPS_Valor_Dezembro_Cálculo!G$50</f>
        <v>337.18020000000001</v>
      </c>
      <c r="H61" s="110">
        <f>RGPS_Quantidade_Dezembro_Cálc!H18/1000*RGPS_Valor_Dezembro_Cálculo!H$50</f>
        <v>368.85904999999997</v>
      </c>
      <c r="I61" s="110">
        <f>RGPS_Quantidade_Dezembro_Cálc!I18/1000*RGPS_Valor_Dezembro_Cálculo!I$50</f>
        <v>344.75461999999993</v>
      </c>
      <c r="J61" s="110">
        <f>RGPS_Quantidade_Dezembro_Cálc!J18/1000*RGPS_Valor_Dezembro_Cálculo!J$50</f>
        <v>352.96745999999996</v>
      </c>
      <c r="K61" s="110">
        <f>RGPS_Quantidade_Dezembro_Cálc!K18/1000*RGPS_Valor_Dezembro_Cálculo!K$50</f>
        <v>355.44228000000004</v>
      </c>
      <c r="L61" s="110">
        <f>RGPS_Quantidade_Dezembro_Cálc!L18/1000*RGPS_Valor_Dezembro_Cálculo!L$50</f>
        <v>441.58859999999999</v>
      </c>
      <c r="M61" s="110">
        <f>RGPS_Quantidade_Dezembro_Cálc!M18/1000*RGPS_Valor_Dezembro_Cálculo!M$50</f>
        <v>482.23452999999995</v>
      </c>
      <c r="N61" s="110">
        <f>RGPS_Quantidade_Dezembro_Cálc!N18/1000*RGPS_Valor_Dezembro_Cálculo!N$50</f>
        <v>530.38126599999998</v>
      </c>
      <c r="O61" s="110">
        <f>RGPS_Quantidade_Dezembro_Cálc!O18/1000*RGPS_Valor_Dezembro_Cálculo!O$50</f>
        <v>625.50110399999994</v>
      </c>
      <c r="P61" s="110">
        <f>RGPS_Quantidade_Dezembro_Cálc!P18/1000*RGPS_Valor_Dezembro_Cálculo!P$50</f>
        <v>683.494372</v>
      </c>
      <c r="Q61" s="111">
        <f>RGPS_Quantidade_Dezembro_Cálc!Q18/1000*RGPS_Valor_Dezembro_Cálculo!Q$50</f>
        <v>3.0581999999999994</v>
      </c>
      <c r="R61" s="112">
        <f>RGPS_Quantidade_Dezembro_Cálc!R18/1000*RGPS_Valor_Dezembro_Cálculo!R$50</f>
        <v>3.1560000000000015</v>
      </c>
      <c r="S61" s="112">
        <f>RGPS_Quantidade_Dezembro_Cálc!S18/1000*RGPS_Valor_Dezembro_Cálculo!S$50</f>
        <v>2.9894799999999977</v>
      </c>
      <c r="T61" s="112">
        <f>RGPS_Quantidade_Dezembro_Cálc!T18/1000*RGPS_Valor_Dezembro_Cálculo!T$50</f>
        <v>2.1957000000000049</v>
      </c>
      <c r="U61" s="112">
        <f>RGPS_Quantidade_Dezembro_Cálc!U18/1000*RGPS_Valor_Dezembro_Cálculo!U$50</f>
        <v>1.2677000000000049</v>
      </c>
      <c r="V61" s="112">
        <f>RGPS_Quantidade_Dezembro_Cálc!V18/1000*RGPS_Valor_Dezembro_Cálculo!V$50</f>
        <v>0.79115999999999753</v>
      </c>
      <c r="W61" s="112">
        <f>RGPS_Quantidade_Dezembro_Cálc!W18/1000*RGPS_Valor_Dezembro_Cálculo!W$50</f>
        <v>0.47061000000000008</v>
      </c>
      <c r="X61" s="112">
        <f>RGPS_Quantidade_Dezembro_Cálc!X18/1000*RGPS_Valor_Dezembro_Cálculo!X$50</f>
        <v>0.3547949999999892</v>
      </c>
      <c r="Y61" s="112">
        <f>RGPS_Quantidade_Dezembro_Cálc!Y18/1000*RGPS_Valor_Dezembro_Cálculo!Y$50</f>
        <v>0.330479999999998</v>
      </c>
      <c r="Z61" s="112">
        <f>RGPS_Quantidade_Dezembro_Cálc!Z18/1000*RGPS_Valor_Dezembro_Cálculo!Z$50</f>
        <v>0.3166449999999939</v>
      </c>
      <c r="AA61" s="112">
        <f>RGPS_Quantidade_Dezembro_Cálc!AA18/1000*RGPS_Valor_Dezembro_Cálculo!AA$50</f>
        <v>0.29545000000001415</v>
      </c>
      <c r="AB61" s="112">
        <f>RGPS_Quantidade_Dezembro_Cálc!AB18/1000*RGPS_Valor_Dezembro_Cálculo!AB$50</f>
        <v>0.31052399999999891</v>
      </c>
      <c r="AC61" s="112">
        <f>RGPS_Quantidade_Dezembro_Cálc!AC18/1000*RGPS_Valor_Dezembro_Cálculo!AC$50</f>
        <v>0.30335599999998747</v>
      </c>
      <c r="AD61" s="109">
        <f>RGPS_Quantidade_Dezembro_Cálc!AD18/1000*RGPS_Valor_Dezembro_Cálculo!AD$50</f>
        <v>134.04339999999999</v>
      </c>
      <c r="AE61" s="109">
        <f>RGPS_Quantidade_Dezembro_Cálc!AE18/1000*RGPS_Valor_Dezembro_Cálculo!AE$50</f>
        <v>210.15744000000001</v>
      </c>
      <c r="AF61" s="109">
        <f>RGPS_Quantidade_Dezembro_Cálc!AF18/1000*RGPS_Valor_Dezembro_Cálculo!AF$50</f>
        <v>279.92016000000001</v>
      </c>
      <c r="AG61" s="109">
        <f>RGPS_Quantidade_Dezembro_Cálc!AG18/1000*RGPS_Valor_Dezembro_Cálculo!AG$50</f>
        <v>339.3759</v>
      </c>
      <c r="AH61" s="109">
        <f>RGPS_Quantidade_Dezembro_Cálc!AH18/1000*RGPS_Valor_Dezembro_Cálculo!AH$50</f>
        <v>370.12674999999996</v>
      </c>
      <c r="AI61" s="109">
        <f>RGPS_Quantidade_Dezembro_Cálc!AI18/1000*RGPS_Valor_Dezembro_Cálculo!AI$50</f>
        <v>345.54578000000004</v>
      </c>
      <c r="AJ61" s="109">
        <f>RGPS_Quantidade_Dezembro_Cálc!AJ18/1000*RGPS_Valor_Dezembro_Cálculo!AJ$50</f>
        <v>353.43806999999998</v>
      </c>
      <c r="AK61" s="109">
        <f>RGPS_Quantidade_Dezembro_Cálc!AK18/1000*RGPS_Valor_Dezembro_Cálculo!AK$50</f>
        <v>355.79707499999995</v>
      </c>
      <c r="AL61" s="109">
        <f>RGPS_Quantidade_Dezembro_Cálc!AL18/1000*RGPS_Valor_Dezembro_Cálculo!AL$50</f>
        <v>441.91907999999995</v>
      </c>
      <c r="AM61" s="109">
        <f>RGPS_Quantidade_Dezembro_Cálc!AM18/1000*RGPS_Valor_Dezembro_Cálculo!AM$50</f>
        <v>482.551175</v>
      </c>
      <c r="AN61" s="109">
        <f>RGPS_Quantidade_Dezembro_Cálc!AN18/1000*RGPS_Valor_Dezembro_Cálculo!AN$50</f>
        <v>530.67671600000006</v>
      </c>
      <c r="AO61" s="109">
        <f>RGPS_Quantidade_Dezembro_Cálc!AO18/1000*RGPS_Valor_Dezembro_Cálculo!AO$50</f>
        <v>625.81162799999993</v>
      </c>
      <c r="AP61" s="109">
        <f>RGPS_Quantidade_Dezembro_Cálc!AP18/1000*RGPS_Valor_Dezembro_Cálculo!AP$50</f>
        <v>683.79772800000001</v>
      </c>
    </row>
    <row r="62" spans="2:42">
      <c r="B62" s="106" t="s">
        <v>50</v>
      </c>
      <c r="C62" s="37" t="s">
        <v>22</v>
      </c>
      <c r="D62" s="110">
        <f>D20</f>
        <v>18.634054520002323</v>
      </c>
      <c r="E62" s="110">
        <f t="shared" ref="E62:AP62" si="30">E20</f>
        <v>22.276744999999998</v>
      </c>
      <c r="F62" s="110">
        <f t="shared" si="30"/>
        <v>24.241154999999999</v>
      </c>
      <c r="G62" s="110">
        <f t="shared" si="30"/>
        <v>28.810207999999999</v>
      </c>
      <c r="H62" s="110">
        <f t="shared" si="30"/>
        <v>35.075940120002713</v>
      </c>
      <c r="I62" s="110">
        <f t="shared" si="30"/>
        <v>38.873553909982675</v>
      </c>
      <c r="J62" s="110">
        <f t="shared" si="30"/>
        <v>43.447363829978919</v>
      </c>
      <c r="K62" s="110">
        <f t="shared" si="30"/>
        <v>50.190999759971568</v>
      </c>
      <c r="L62" s="110">
        <f t="shared" si="30"/>
        <v>56.908799370010414</v>
      </c>
      <c r="M62" s="110">
        <f t="shared" si="30"/>
        <v>63.263691919998152</v>
      </c>
      <c r="N62" s="110">
        <f t="shared" si="30"/>
        <v>77.1860121799469</v>
      </c>
      <c r="O62" s="110">
        <f t="shared" si="30"/>
        <v>89.008672960052493</v>
      </c>
      <c r="P62" s="110">
        <f t="shared" si="30"/>
        <v>100.3218086</v>
      </c>
      <c r="Q62" s="111">
        <f t="shared" si="30"/>
        <v>0.63964430999994304</v>
      </c>
      <c r="R62" s="112">
        <f t="shared" si="30"/>
        <v>0.86261200000000005</v>
      </c>
      <c r="S62" s="112">
        <f t="shared" si="30"/>
        <v>1.042983</v>
      </c>
      <c r="T62" s="112">
        <f t="shared" si="30"/>
        <v>1.3594520000000001</v>
      </c>
      <c r="U62" s="112">
        <f t="shared" si="30"/>
        <v>1.881630200000763</v>
      </c>
      <c r="V62" s="112">
        <f t="shared" si="30"/>
        <v>2.24703744999981</v>
      </c>
      <c r="W62" s="112">
        <f t="shared" si="30"/>
        <v>2.6883680699996901</v>
      </c>
      <c r="X62" s="112">
        <f t="shared" si="30"/>
        <v>3.2887442399997702</v>
      </c>
      <c r="Y62" s="112">
        <f t="shared" si="30"/>
        <v>3.9018202900009098</v>
      </c>
      <c r="Z62" s="112">
        <f t="shared" si="30"/>
        <v>4.5212775799980101</v>
      </c>
      <c r="AA62" s="112">
        <f t="shared" si="30"/>
        <v>5.5071243400001508</v>
      </c>
      <c r="AB62" s="112">
        <f t="shared" si="30"/>
        <v>6.4510215200004595</v>
      </c>
      <c r="AC62" s="112">
        <f t="shared" si="30"/>
        <v>7.296739210000001</v>
      </c>
      <c r="AD62" s="109">
        <f t="shared" si="30"/>
        <v>19.273698830002267</v>
      </c>
      <c r="AE62" s="109">
        <f t="shared" si="30"/>
        <v>23.139357</v>
      </c>
      <c r="AF62" s="109">
        <f t="shared" si="30"/>
        <v>25.284137999999999</v>
      </c>
      <c r="AG62" s="109">
        <f t="shared" si="30"/>
        <v>30.16966</v>
      </c>
      <c r="AH62" s="109">
        <f t="shared" si="30"/>
        <v>36.957570320003519</v>
      </c>
      <c r="AI62" s="109">
        <f t="shared" si="30"/>
        <v>41.120591359982448</v>
      </c>
      <c r="AJ62" s="109">
        <f t="shared" si="30"/>
        <v>46.135731899978602</v>
      </c>
      <c r="AK62" s="109">
        <f t="shared" si="30"/>
        <v>53.479743999971411</v>
      </c>
      <c r="AL62" s="109">
        <f t="shared" si="30"/>
        <v>60.810619660011263</v>
      </c>
      <c r="AM62" s="109">
        <f t="shared" si="30"/>
        <v>67.78496949999618</v>
      </c>
      <c r="AN62" s="109">
        <f t="shared" si="30"/>
        <v>82.693136519946989</v>
      </c>
      <c r="AO62" s="109">
        <f t="shared" si="30"/>
        <v>95.459694480053003</v>
      </c>
      <c r="AP62" s="109">
        <f t="shared" si="30"/>
        <v>95.459694480053003</v>
      </c>
    </row>
    <row r="63" spans="2:42">
      <c r="B63" s="106"/>
      <c r="C63" s="37" t="s">
        <v>40</v>
      </c>
      <c r="D63" s="110">
        <f>RGPS_Quantidade_Dezembro_Cálc!D21/1000*RGPS_Valor_Dezembro_Cálculo!D$50</f>
        <v>17.940799999999996</v>
      </c>
      <c r="E63" s="110">
        <f>RGPS_Quantidade_Dezembro_Cálc!E21/1000*RGPS_Valor_Dezembro_Cálculo!E$50</f>
        <v>22.504560000000001</v>
      </c>
      <c r="F63" s="110">
        <f>RGPS_Quantidade_Dezembro_Cálc!F21/1000*RGPS_Valor_Dezembro_Cálculo!F$50</f>
        <v>24.551279999999991</v>
      </c>
      <c r="G63" s="110">
        <f>RGPS_Quantidade_Dezembro_Cálc!G21/1000*RGPS_Valor_Dezembro_Cálculo!G$50</f>
        <v>27.221399999999999</v>
      </c>
      <c r="H63" s="110">
        <f>RGPS_Quantidade_Dezembro_Cálc!H21/1000*RGPS_Valor_Dezembro_Cálculo!H$50</f>
        <v>29.709050000000005</v>
      </c>
      <c r="I63" s="110">
        <f>RGPS_Quantidade_Dezembro_Cálc!I21/1000*RGPS_Valor_Dezembro_Cálculo!I$50</f>
        <v>32.174600000000005</v>
      </c>
      <c r="J63" s="110">
        <f>RGPS_Quantidade_Dezembro_Cálc!J21/1000*RGPS_Valor_Dezembro_Cálculo!J$50</f>
        <v>35.397424999999991</v>
      </c>
      <c r="K63" s="110">
        <f>RGPS_Quantidade_Dezembro_Cálc!K21/1000*RGPS_Valor_Dezembro_Cálculo!K$50</f>
        <v>39.521745000000003</v>
      </c>
      <c r="L63" s="110">
        <f>RGPS_Quantidade_Dezembro_Cálc!L21/1000*RGPS_Valor_Dezembro_Cálculo!L$50</f>
        <v>44.916719999999998</v>
      </c>
      <c r="M63" s="110">
        <f>RGPS_Quantidade_Dezembro_Cálc!M21/1000*RGPS_Valor_Dezembro_Cálculo!M$50</f>
        <v>51.044154999999996</v>
      </c>
      <c r="N63" s="110">
        <f>RGPS_Quantidade_Dezembro_Cálc!N21/1000*RGPS_Valor_Dezembro_Cálculo!N$50</f>
        <v>56.480709999999988</v>
      </c>
      <c r="O63" s="110">
        <f>RGPS_Quantidade_Dezembro_Cálc!O21/1000*RGPS_Valor_Dezembro_Cálculo!O$50</f>
        <v>64.953755999999998</v>
      </c>
      <c r="P63" s="110">
        <f>RGPS_Quantidade_Dezembro_Cálc!P21/1000*RGPS_Valor_Dezembro_Cálculo!P$50</f>
        <v>72.783720000000031</v>
      </c>
      <c r="Q63" s="111">
        <f>RGPS_Quantidade_Dezembro_Cálc!Q21/1000*RGPS_Valor_Dezembro_Cálculo!Q$50</f>
        <v>7.1000000000000091E-2</v>
      </c>
      <c r="R63" s="112">
        <f>RGPS_Quantidade_Dezembro_Cálc!R21/1000*RGPS_Valor_Dezembro_Cálculo!R$50</f>
        <v>9.1440000000000049E-2</v>
      </c>
      <c r="S63" s="112">
        <f>RGPS_Quantidade_Dezembro_Cálc!S21/1000*RGPS_Valor_Dezembro_Cálculo!S$50</f>
        <v>9.8800000000000207E-2</v>
      </c>
      <c r="T63" s="112">
        <f>RGPS_Quantidade_Dezembro_Cálc!T21/1000*RGPS_Valor_Dezembro_Cálculo!T$50</f>
        <v>9.9900000000000058E-2</v>
      </c>
      <c r="U63" s="112">
        <f>RGPS_Quantidade_Dezembro_Cálc!U21/1000*RGPS_Valor_Dezembro_Cálculo!U$50</f>
        <v>8.6100000000000163E-2</v>
      </c>
      <c r="V63" s="112">
        <f>RGPS_Quantidade_Dezembro_Cálc!V21/1000*RGPS_Valor_Dezembro_Cálculo!V$50</f>
        <v>7.8279999999999808E-2</v>
      </c>
      <c r="W63" s="112">
        <f>RGPS_Quantidade_Dezembro_Cálc!W21/1000*RGPS_Valor_Dezembro_Cálculo!W$50</f>
        <v>7.5944999999999929E-2</v>
      </c>
      <c r="X63" s="112">
        <f>RGPS_Quantidade_Dezembro_Cálc!X21/1000*RGPS_Valor_Dezembro_Cálculo!X$50</f>
        <v>7.0680000000000465E-2</v>
      </c>
      <c r="Y63" s="112">
        <f>RGPS_Quantidade_Dezembro_Cálc!Y21/1000*RGPS_Valor_Dezembro_Cálculo!Y$50</f>
        <v>7.2930000000000356E-2</v>
      </c>
      <c r="Z63" s="112">
        <f>RGPS_Quantidade_Dezembro_Cálc!Z21/1000*RGPS_Valor_Dezembro_Cálculo!Z$50</f>
        <v>7.6845000000000982E-2</v>
      </c>
      <c r="AA63" s="112">
        <f>RGPS_Quantidade_Dezembro_Cálc!AA21/1000*RGPS_Valor_Dezembro_Cálculo!AA$50</f>
        <v>7.6506000000000698E-2</v>
      </c>
      <c r="AB63" s="112">
        <f>RGPS_Quantidade_Dezembro_Cálc!AB21/1000*RGPS_Valor_Dezembro_Cálculo!AB$50</f>
        <v>8.0681999999999851E-2</v>
      </c>
      <c r="AC63" s="112">
        <f>RGPS_Quantidade_Dezembro_Cálc!AC21/1000*RGPS_Valor_Dezembro_Cálculo!AC$50</f>
        <v>8.3259999999998863E-2</v>
      </c>
      <c r="AD63" s="109">
        <f>RGPS_Quantidade_Dezembro_Cálc!AD21/1000*RGPS_Valor_Dezembro_Cálculo!AD$50</f>
        <v>18.011800000000004</v>
      </c>
      <c r="AE63" s="109">
        <f>RGPS_Quantidade_Dezembro_Cálc!AE21/1000*RGPS_Valor_Dezembro_Cálculo!AE$50</f>
        <v>22.595999999999997</v>
      </c>
      <c r="AF63" s="109">
        <f>RGPS_Quantidade_Dezembro_Cálc!AF21/1000*RGPS_Valor_Dezembro_Cálculo!AF$50</f>
        <v>24.650079999999996</v>
      </c>
      <c r="AG63" s="109">
        <f>RGPS_Quantidade_Dezembro_Cálc!AG21/1000*RGPS_Valor_Dezembro_Cálculo!AG$50</f>
        <v>27.32129999999999</v>
      </c>
      <c r="AH63" s="109">
        <f>RGPS_Quantidade_Dezembro_Cálc!AH21/1000*RGPS_Valor_Dezembro_Cálculo!AH$50</f>
        <v>29.79515</v>
      </c>
      <c r="AI63" s="109">
        <f>RGPS_Quantidade_Dezembro_Cálc!AI21/1000*RGPS_Valor_Dezembro_Cálculo!AI$50</f>
        <v>32.25287999999999</v>
      </c>
      <c r="AJ63" s="109">
        <f>RGPS_Quantidade_Dezembro_Cálc!AJ21/1000*RGPS_Valor_Dezembro_Cálculo!AJ$50</f>
        <v>35.473370000000017</v>
      </c>
      <c r="AK63" s="109">
        <f>RGPS_Quantidade_Dezembro_Cálc!AK21/1000*RGPS_Valor_Dezembro_Cálculo!AK$50</f>
        <v>39.592425000000006</v>
      </c>
      <c r="AL63" s="109">
        <f>RGPS_Quantidade_Dezembro_Cálc!AL21/1000*RGPS_Valor_Dezembro_Cálculo!AL$50</f>
        <v>44.989649999999997</v>
      </c>
      <c r="AM63" s="109">
        <f>RGPS_Quantidade_Dezembro_Cálc!AM21/1000*RGPS_Valor_Dezembro_Cálculo!AM$50</f>
        <v>51.120999999999988</v>
      </c>
      <c r="AN63" s="109">
        <f>RGPS_Quantidade_Dezembro_Cálc!AN21/1000*RGPS_Valor_Dezembro_Cálculo!AN$50</f>
        <v>56.557216000000011</v>
      </c>
      <c r="AO63" s="109">
        <f>RGPS_Quantidade_Dezembro_Cálc!AO21/1000*RGPS_Valor_Dezembro_Cálculo!AO$50</f>
        <v>65.034437999999994</v>
      </c>
      <c r="AP63" s="109">
        <f>RGPS_Quantidade_Dezembro_Cálc!AP21/1000*RGPS_Valor_Dezembro_Cálculo!AP$50</f>
        <v>72.866980000000012</v>
      </c>
    </row>
    <row r="64" spans="2:42">
      <c r="B64" s="106" t="s">
        <v>25</v>
      </c>
      <c r="C64" s="37" t="s">
        <v>22</v>
      </c>
      <c r="D64" s="110">
        <f>D23</f>
        <v>10.546322089998535</v>
      </c>
      <c r="E64" s="110">
        <f t="shared" ref="E64:AP64" si="31">E23</f>
        <v>11.648491999999999</v>
      </c>
      <c r="F64" s="110">
        <f t="shared" si="31"/>
        <v>12.701229</v>
      </c>
      <c r="G64" s="110">
        <f t="shared" si="31"/>
        <v>13.729274999999999</v>
      </c>
      <c r="H64" s="110">
        <f t="shared" si="31"/>
        <v>16.076899000002328</v>
      </c>
      <c r="I64" s="110">
        <f t="shared" si="31"/>
        <v>18.062811370002031</v>
      </c>
      <c r="J64" s="110">
        <f t="shared" si="31"/>
        <v>21.262820250004737</v>
      </c>
      <c r="K64" s="110">
        <f t="shared" si="31"/>
        <v>29.065218179998816</v>
      </c>
      <c r="L64" s="110">
        <f t="shared" si="31"/>
        <v>32.596803949993792</v>
      </c>
      <c r="M64" s="110">
        <f t="shared" si="31"/>
        <v>32.795071069996133</v>
      </c>
      <c r="N64" s="110">
        <f t="shared" si="31"/>
        <v>46.588085920000822</v>
      </c>
      <c r="O64" s="110">
        <f t="shared" si="31"/>
        <v>62.418352990005225</v>
      </c>
      <c r="P64" s="110">
        <f t="shared" si="31"/>
        <v>83.016006912412422</v>
      </c>
      <c r="Q64" s="111">
        <f t="shared" si="31"/>
        <v>5.0883726499999984</v>
      </c>
      <c r="R64" s="112">
        <f t="shared" si="31"/>
        <v>5.2148729999999999</v>
      </c>
      <c r="S64" s="112">
        <f t="shared" si="31"/>
        <v>5.4901140000000002</v>
      </c>
      <c r="T64" s="112">
        <f t="shared" si="31"/>
        <v>5.3868799999999997</v>
      </c>
      <c r="U64" s="112">
        <f t="shared" si="31"/>
        <v>6.0247080699999929</v>
      </c>
      <c r="V64" s="112">
        <f t="shared" si="31"/>
        <v>6.0724794900000099</v>
      </c>
      <c r="W64" s="112">
        <f t="shared" si="31"/>
        <v>7.6731407200000286</v>
      </c>
      <c r="X64" s="112">
        <f t="shared" si="31"/>
        <v>9.4605940800000425</v>
      </c>
      <c r="Y64" s="112">
        <f t="shared" si="31"/>
        <v>9.8021415299999717</v>
      </c>
      <c r="Z64" s="112">
        <f t="shared" si="31"/>
        <v>9.1993964800000185</v>
      </c>
      <c r="AA64" s="112">
        <f t="shared" si="31"/>
        <v>10.476025179999947</v>
      </c>
      <c r="AB64" s="112">
        <f t="shared" si="31"/>
        <v>12.252992829999924</v>
      </c>
      <c r="AC64" s="112">
        <f t="shared" si="31"/>
        <v>15.883561754123381</v>
      </c>
      <c r="AD64" s="109">
        <f t="shared" si="31"/>
        <v>15.634694739998533</v>
      </c>
      <c r="AE64" s="109">
        <f t="shared" si="31"/>
        <v>16.863365000000002</v>
      </c>
      <c r="AF64" s="109">
        <f t="shared" si="31"/>
        <v>18.191343</v>
      </c>
      <c r="AG64" s="109">
        <f t="shared" si="31"/>
        <v>19.116154999999999</v>
      </c>
      <c r="AH64" s="109">
        <f t="shared" si="31"/>
        <v>22.10160707000232</v>
      </c>
      <c r="AI64" s="109">
        <f t="shared" si="31"/>
        <v>24.135290860002041</v>
      </c>
      <c r="AJ64" s="109">
        <f t="shared" si="31"/>
        <v>28.935960970004764</v>
      </c>
      <c r="AK64" s="109">
        <f t="shared" si="31"/>
        <v>38.525812259998858</v>
      </c>
      <c r="AL64" s="109">
        <f t="shared" si="31"/>
        <v>42.398945479993763</v>
      </c>
      <c r="AM64" s="109">
        <f t="shared" si="31"/>
        <v>41.994467549996152</v>
      </c>
      <c r="AN64" s="109">
        <f t="shared" si="31"/>
        <v>57.064111100000765</v>
      </c>
      <c r="AO64" s="109">
        <f t="shared" si="31"/>
        <v>74.671345820005129</v>
      </c>
      <c r="AP64" s="109">
        <f t="shared" si="31"/>
        <v>74.671345820005129</v>
      </c>
    </row>
    <row r="65" spans="2:42">
      <c r="B65" s="106"/>
      <c r="C65" s="37" t="s">
        <v>40</v>
      </c>
      <c r="D65" s="110">
        <f>RGPS_Quantidade_Dezembro_Cálc!D24/1000*RGPS_Valor_Dezembro_Cálculo!D$50</f>
        <v>21.314999999999998</v>
      </c>
      <c r="E65" s="110">
        <f>RGPS_Quantidade_Dezembro_Cálc!E24/1000*RGPS_Valor_Dezembro_Cálculo!E$50</f>
        <v>8.0776799999999991</v>
      </c>
      <c r="F65" s="110">
        <f>RGPS_Quantidade_Dezembro_Cálc!F24/1000*RGPS_Valor_Dezembro_Cálculo!F$50</f>
        <v>6.7170999999999985</v>
      </c>
      <c r="G65" s="110">
        <f>RGPS_Quantidade_Dezembro_Cálc!G24/1000*RGPS_Valor_Dezembro_Cálculo!G$50</f>
        <v>6.8022000000000018</v>
      </c>
      <c r="H65" s="110">
        <f>RGPS_Quantidade_Dezembro_Cálc!H24/1000*RGPS_Valor_Dezembro_Cálculo!H$50</f>
        <v>7.4077499999999974</v>
      </c>
      <c r="I65" s="110">
        <f>RGPS_Quantidade_Dezembro_Cálc!I24/1000*RGPS_Valor_Dezembro_Cálculo!I$50</f>
        <v>9.2716199999999951</v>
      </c>
      <c r="J65" s="110">
        <f>RGPS_Quantidade_Dezembro_Cálc!J24/1000*RGPS_Valor_Dezembro_Cálculo!J$50</f>
        <v>11.746575000000004</v>
      </c>
      <c r="K65" s="110">
        <f>RGPS_Quantidade_Dezembro_Cálc!K24/1000*RGPS_Valor_Dezembro_Cálculo!K$50</f>
        <v>15.702584999999997</v>
      </c>
      <c r="L65" s="110">
        <f>RGPS_Quantidade_Dezembro_Cálc!L24/1000*RGPS_Valor_Dezembro_Cálculo!L$50</f>
        <v>18.739950000000004</v>
      </c>
      <c r="M65" s="110">
        <f>RGPS_Quantidade_Dezembro_Cálc!M24/1000*RGPS_Valor_Dezembro_Cálculo!M$50</f>
        <v>25.457494999999998</v>
      </c>
      <c r="N65" s="110">
        <f>RGPS_Quantidade_Dezembro_Cálc!N24/1000*RGPS_Valor_Dezembro_Cálculo!N$50</f>
        <v>26.941307999999996</v>
      </c>
      <c r="O65" s="110">
        <f>RGPS_Quantidade_Dezembro_Cálc!O24/1000*RGPS_Valor_Dezembro_Cálculo!O$50</f>
        <v>25.288044000000003</v>
      </c>
      <c r="P65" s="110">
        <f>RGPS_Quantidade_Dezembro_Cálc!P24/1000*RGPS_Valor_Dezembro_Cálculo!P$50</f>
        <v>31.828487999999663</v>
      </c>
      <c r="Q65" s="111">
        <f>RGPS_Quantidade_Dezembro_Cálc!Q24/1000*RGPS_Valor_Dezembro_Cálculo!Q$50</f>
        <v>0.13019999999999995</v>
      </c>
      <c r="R65" s="112">
        <f>RGPS_Quantidade_Dezembro_Cálc!R24/1000*RGPS_Valor_Dezembro_Cálculo!R$50</f>
        <v>9.3839999999999577E-2</v>
      </c>
      <c r="S65" s="112">
        <f>RGPS_Quantidade_Dezembro_Cálc!S24/1000*RGPS_Valor_Dezembro_Cálculo!S$50</f>
        <v>0.1086799999999998</v>
      </c>
      <c r="T65" s="112">
        <f>RGPS_Quantidade_Dezembro_Cálc!T24/1000*RGPS_Valor_Dezembro_Cálculo!T$50</f>
        <v>0.13079999999999997</v>
      </c>
      <c r="U65" s="112">
        <f>RGPS_Quantidade_Dezembro_Cálc!U24/1000*RGPS_Valor_Dezembro_Cálculo!U$50</f>
        <v>0.12389999999999973</v>
      </c>
      <c r="V65" s="112">
        <f>RGPS_Quantidade_Dezembro_Cálc!V24/1000*RGPS_Valor_Dezembro_Cálculo!V$50</f>
        <v>0.13945999999999897</v>
      </c>
      <c r="W65" s="112">
        <f>RGPS_Quantidade_Dezembro_Cálc!W24/1000*RGPS_Valor_Dezembro_Cálculo!W$50</f>
        <v>0.13902499999999887</v>
      </c>
      <c r="X65" s="112">
        <f>RGPS_Quantidade_Dezembro_Cálc!X24/1000*RGPS_Valor_Dezembro_Cálculo!X$50</f>
        <v>0.15763499999999936</v>
      </c>
      <c r="Y65" s="112">
        <f>RGPS_Quantidade_Dezembro_Cálc!Y24/1000*RGPS_Valor_Dezembro_Cálculo!Y$50</f>
        <v>0.18564000000000039</v>
      </c>
      <c r="Z65" s="112">
        <f>RGPS_Quantidade_Dezembro_Cálc!Z24/1000*RGPS_Valor_Dezembro_Cálculo!Z$50</f>
        <v>0.18911500000000073</v>
      </c>
      <c r="AA65" s="112">
        <f>RGPS_Quantidade_Dezembro_Cálc!AA24/1000*RGPS_Valor_Dezembro_Cálculo!AA$50</f>
        <v>0.1642080000000018</v>
      </c>
      <c r="AB65" s="112">
        <f>RGPS_Quantidade_Dezembro_Cálc!AB24/1000*RGPS_Valor_Dezembro_Cálculo!AB$50</f>
        <v>0.15661800000000112</v>
      </c>
      <c r="AC65" s="112">
        <f>RGPS_Quantidade_Dezembro_Cálc!AC24/1000*RGPS_Valor_Dezembro_Cálculo!AC$50</f>
        <v>9.9912000000857745E-2</v>
      </c>
      <c r="AD65" s="109">
        <f>RGPS_Quantidade_Dezembro_Cálc!AD24/1000*RGPS_Valor_Dezembro_Cálculo!AD$50</f>
        <v>21.4452</v>
      </c>
      <c r="AE65" s="109">
        <f>RGPS_Quantidade_Dezembro_Cálc!AE24/1000*RGPS_Valor_Dezembro_Cálculo!AE$50</f>
        <v>8.171520000000001</v>
      </c>
      <c r="AF65" s="109">
        <f>RGPS_Quantidade_Dezembro_Cálc!AF24/1000*RGPS_Valor_Dezembro_Cálculo!AF$50</f>
        <v>6.8257800000000044</v>
      </c>
      <c r="AG65" s="109">
        <f>RGPS_Quantidade_Dezembro_Cálc!AG24/1000*RGPS_Valor_Dezembro_Cálculo!AG$50</f>
        <v>6.9329999999999998</v>
      </c>
      <c r="AH65" s="109">
        <f>RGPS_Quantidade_Dezembro_Cálc!AH24/1000*RGPS_Valor_Dezembro_Cálculo!AH$50</f>
        <v>7.5316499999999964</v>
      </c>
      <c r="AI65" s="109">
        <f>RGPS_Quantidade_Dezembro_Cálc!AI24/1000*RGPS_Valor_Dezembro_Cálculo!AI$50</f>
        <v>9.4110799999999966</v>
      </c>
      <c r="AJ65" s="109">
        <f>RGPS_Quantidade_Dezembro_Cálc!AJ24/1000*RGPS_Valor_Dezembro_Cálculo!AJ$50</f>
        <v>11.885599999999993</v>
      </c>
      <c r="AK65" s="109">
        <f>RGPS_Quantidade_Dezembro_Cálc!AK24/1000*RGPS_Valor_Dezembro_Cálculo!AK$50</f>
        <v>15.860219999999989</v>
      </c>
      <c r="AL65" s="109">
        <f>RGPS_Quantidade_Dezembro_Cálc!AL24/1000*RGPS_Valor_Dezembro_Cálculo!AL$50</f>
        <v>18.925589999999993</v>
      </c>
      <c r="AM65" s="109">
        <f>RGPS_Quantidade_Dezembro_Cálc!AM24/1000*RGPS_Valor_Dezembro_Cálculo!AM$50</f>
        <v>25.646609999999999</v>
      </c>
      <c r="AN65" s="109">
        <f>RGPS_Quantidade_Dezembro_Cálc!AN24/1000*RGPS_Valor_Dezembro_Cálculo!AN$50</f>
        <v>27.105516000000005</v>
      </c>
      <c r="AO65" s="109">
        <f>RGPS_Quantidade_Dezembro_Cálc!AO24/1000*RGPS_Valor_Dezembro_Cálculo!AO$50</f>
        <v>25.444662000000019</v>
      </c>
      <c r="AP65" s="109">
        <f>RGPS_Quantidade_Dezembro_Cálc!AP24/1000*RGPS_Valor_Dezembro_Cálculo!AP$50</f>
        <v>31.928400000000522</v>
      </c>
    </row>
    <row r="66" spans="2:42">
      <c r="B66" s="106" t="s">
        <v>37</v>
      </c>
      <c r="C66" s="37" t="s">
        <v>22</v>
      </c>
      <c r="D66" s="110">
        <f>D26</f>
        <v>995.35332827001901</v>
      </c>
      <c r="E66" s="110">
        <f t="shared" ref="E66:AP66" si="32">E26</f>
        <v>1201.6922959999999</v>
      </c>
      <c r="F66" s="110">
        <f t="shared" si="32"/>
        <v>1374.0929900000001</v>
      </c>
      <c r="G66" s="110">
        <f t="shared" si="32"/>
        <v>1701.373525</v>
      </c>
      <c r="H66" s="110">
        <f t="shared" si="32"/>
        <v>2125.2676781700152</v>
      </c>
      <c r="I66" s="110">
        <f t="shared" si="32"/>
        <v>2401.2332980100123</v>
      </c>
      <c r="J66" s="110">
        <f t="shared" si="32"/>
        <v>2729.3652236800149</v>
      </c>
      <c r="K66" s="110">
        <f t="shared" si="32"/>
        <v>3235.190286919943</v>
      </c>
      <c r="L66" s="110">
        <f t="shared" si="32"/>
        <v>3650.3825456200098</v>
      </c>
      <c r="M66" s="110">
        <f t="shared" si="32"/>
        <v>3970.829325029988</v>
      </c>
      <c r="N66" s="110">
        <f t="shared" si="32"/>
        <v>4924.3138888700159</v>
      </c>
      <c r="O66" s="110">
        <f t="shared" si="32"/>
        <v>5585.8798227100096</v>
      </c>
      <c r="P66" s="110">
        <f t="shared" si="32"/>
        <v>6152.3493197224125</v>
      </c>
      <c r="Q66" s="111">
        <f t="shared" si="32"/>
        <v>1294.4394773900001</v>
      </c>
      <c r="R66" s="112">
        <f t="shared" si="32"/>
        <v>1595.9864030000001</v>
      </c>
      <c r="S66" s="112">
        <f t="shared" si="32"/>
        <v>1777.935007</v>
      </c>
      <c r="T66" s="112">
        <f t="shared" si="32"/>
        <v>2109.3070640000001</v>
      </c>
      <c r="U66" s="112">
        <f t="shared" si="32"/>
        <v>2525.397713039999</v>
      </c>
      <c r="V66" s="112">
        <f t="shared" si="32"/>
        <v>2815.8778333099972</v>
      </c>
      <c r="W66" s="112">
        <f t="shared" si="32"/>
        <v>3175.6046425799964</v>
      </c>
      <c r="X66" s="112">
        <f t="shared" si="32"/>
        <v>3677.9672022199966</v>
      </c>
      <c r="Y66" s="112">
        <f t="shared" si="32"/>
        <v>4159.6596833100011</v>
      </c>
      <c r="Z66" s="112">
        <f t="shared" si="32"/>
        <v>4559.9346961499923</v>
      </c>
      <c r="AA66" s="112">
        <f t="shared" si="32"/>
        <v>5355.5722577500019</v>
      </c>
      <c r="AB66" s="112">
        <f t="shared" si="32"/>
        <v>6007.5445557799967</v>
      </c>
      <c r="AC66" s="112">
        <f t="shared" si="32"/>
        <v>6572.0804522441222</v>
      </c>
      <c r="AD66" s="109">
        <f t="shared" si="32"/>
        <v>2289.792805660019</v>
      </c>
      <c r="AE66" s="109">
        <f t="shared" si="32"/>
        <v>2797.6786990000001</v>
      </c>
      <c r="AF66" s="109">
        <f t="shared" si="32"/>
        <v>3152.0279970000001</v>
      </c>
      <c r="AG66" s="109">
        <f t="shared" si="32"/>
        <v>3810.6805890000001</v>
      </c>
      <c r="AH66" s="109">
        <f t="shared" si="32"/>
        <v>4650.6653912100146</v>
      </c>
      <c r="AI66" s="109">
        <f t="shared" si="32"/>
        <v>5217.111131320009</v>
      </c>
      <c r="AJ66" s="109">
        <f t="shared" si="32"/>
        <v>5904.9698662600113</v>
      </c>
      <c r="AK66" s="109">
        <f t="shared" si="32"/>
        <v>6913.1574891399396</v>
      </c>
      <c r="AL66" s="109">
        <f t="shared" si="32"/>
        <v>7810.0422289300104</v>
      </c>
      <c r="AM66" s="109">
        <f t="shared" si="32"/>
        <v>8530.7640211799808</v>
      </c>
      <c r="AN66" s="109">
        <f t="shared" si="32"/>
        <v>10279.886146620016</v>
      </c>
      <c r="AO66" s="109">
        <f t="shared" si="32"/>
        <v>11593.424378490008</v>
      </c>
      <c r="AP66" s="109">
        <f t="shared" si="32"/>
        <v>11593.424378490008</v>
      </c>
    </row>
    <row r="67" spans="2:42">
      <c r="B67" s="107"/>
      <c r="C67" s="39" t="s">
        <v>40</v>
      </c>
      <c r="D67" s="113">
        <f>RGPS_Quantidade_Dezembro_Cálc!D27/1000*RGPS_Valor_Dezembro_Cálculo!D$50</f>
        <v>1418.7485999999999</v>
      </c>
      <c r="E67" s="113">
        <f>RGPS_Quantidade_Dezembro_Cálc!E27/1000*RGPS_Valor_Dezembro_Cálculo!E$50</f>
        <v>1807.0303200000003</v>
      </c>
      <c r="F67" s="113">
        <f>RGPS_Quantidade_Dezembro_Cálc!F27/1000*RGPS_Valor_Dezembro_Cálculo!F$50</f>
        <v>2094.7849000000001</v>
      </c>
      <c r="G67" s="113">
        <f>RGPS_Quantidade_Dezembro_Cálc!G27/1000*RGPS_Valor_Dezembro_Cálculo!G$50</f>
        <v>2435.2803000000004</v>
      </c>
      <c r="H67" s="113">
        <f>RGPS_Quantidade_Dezembro_Cálc!H27/1000*RGPS_Valor_Dezembro_Cálculo!H$50</f>
        <v>2804.4569000000001</v>
      </c>
      <c r="I67" s="113">
        <f>RGPS_Quantidade_Dezembro_Cálc!I27/1000*RGPS_Valor_Dezembro_Cálculo!I$50</f>
        <v>3036.6803199999999</v>
      </c>
      <c r="J67" s="113">
        <f>RGPS_Quantidade_Dezembro_Cálc!J27/1000*RGPS_Valor_Dezembro_Cálculo!J$50</f>
        <v>3399.9717449999998</v>
      </c>
      <c r="K67" s="113">
        <f>RGPS_Quantidade_Dezembro_Cálc!K27/1000*RGPS_Valor_Dezembro_Cálculo!K$50</f>
        <v>3860.1221699999996</v>
      </c>
      <c r="L67" s="113">
        <f>RGPS_Quantidade_Dezembro_Cálc!L27/1000*RGPS_Valor_Dezembro_Cálculo!L$50</f>
        <v>4455.8715300000003</v>
      </c>
      <c r="M67" s="113">
        <f>RGPS_Quantidade_Dezembro_Cálc!M27/1000*RGPS_Valor_Dezembro_Cálculo!M$50</f>
        <v>4981.2553100000005</v>
      </c>
      <c r="N67" s="113">
        <f>RGPS_Quantidade_Dezembro_Cálc!N27/1000*RGPS_Valor_Dezembro_Cálculo!N$50</f>
        <v>5665.3072420000008</v>
      </c>
      <c r="O67" s="113">
        <f>RGPS_Quantidade_Dezembro_Cálc!O27/1000*RGPS_Valor_Dezembro_Cálculo!O$50</f>
        <v>6441.0637319999996</v>
      </c>
      <c r="P67" s="113">
        <f>RGPS_Quantidade_Dezembro_Cálc!P27/1000*RGPS_Valor_Dezembro_Cálculo!P$50</f>
        <v>7142.5155719999993</v>
      </c>
      <c r="Q67" s="114">
        <f>RGPS_Quantidade_Dezembro_Cálc!Q27/1000*RGPS_Valor_Dezembro_Cálculo!Q$50</f>
        <v>18.225600000000121</v>
      </c>
      <c r="R67" s="115">
        <f>RGPS_Quantidade_Dezembro_Cálc!R27/1000*RGPS_Valor_Dezembro_Cálculo!R$50</f>
        <v>23.288640000000012</v>
      </c>
      <c r="S67" s="115">
        <f>RGPS_Quantidade_Dezembro_Cálc!S27/1000*RGPS_Valor_Dezembro_Cálculo!S$50</f>
        <v>24.479780000000066</v>
      </c>
      <c r="T67" s="115">
        <f>RGPS_Quantidade_Dezembro_Cálc!T27/1000*RGPS_Valor_Dezembro_Cálculo!T$50</f>
        <v>24.725099999999838</v>
      </c>
      <c r="U67" s="115">
        <f>RGPS_Quantidade_Dezembro_Cálc!U27/1000*RGPS_Valor_Dezembro_Cálculo!U$50</f>
        <v>24.48739999999998</v>
      </c>
      <c r="V67" s="115">
        <f>RGPS_Quantidade_Dezembro_Cálc!V27/1000*RGPS_Valor_Dezembro_Cálculo!V$50</f>
        <v>24.689740000000327</v>
      </c>
      <c r="W67" s="115">
        <f>RGPS_Quantidade_Dezembro_Cálc!W27/1000*RGPS_Valor_Dezembro_Cálculo!W$50</f>
        <v>26.012200000000121</v>
      </c>
      <c r="X67" s="115">
        <f>RGPS_Quantidade_Dezembro_Cálc!X27/1000*RGPS_Valor_Dezembro_Cálculo!X$50</f>
        <v>27.529859999999871</v>
      </c>
      <c r="Y67" s="115">
        <f>RGPS_Quantidade_Dezembro_Cálc!Y27/1000*RGPS_Valor_Dezembro_Cálculo!Y$50</f>
        <v>30.884069999999895</v>
      </c>
      <c r="Z67" s="115">
        <f>RGPS_Quantidade_Dezembro_Cálc!Z27/1000*RGPS_Valor_Dezembro_Cálculo!Z$50</f>
        <v>33.846134999999542</v>
      </c>
      <c r="AA67" s="115">
        <f>RGPS_Quantidade_Dezembro_Cálc!AA27/1000*RGPS_Valor_Dezembro_Cálculo!AA$50</f>
        <v>34.804632000000083</v>
      </c>
      <c r="AB67" s="115">
        <f>RGPS_Quantidade_Dezembro_Cálc!AB27/1000*RGPS_Valor_Dezembro_Cálculo!AB$50</f>
        <v>38.305643999999724</v>
      </c>
      <c r="AC67" s="115">
        <f>RGPS_Quantidade_Dezembro_Cálc!AC27/1000*RGPS_Valor_Dezembro_Cálculo!AC$50</f>
        <v>41.831996000000323</v>
      </c>
      <c r="AD67" s="116">
        <f>RGPS_Quantidade_Dezembro_Cálc!AD27/1000*RGPS_Valor_Dezembro_Cálculo!AD$50</f>
        <v>1436.9742000000001</v>
      </c>
      <c r="AE67" s="116">
        <f>RGPS_Quantidade_Dezembro_Cálc!AE27/1000*RGPS_Valor_Dezembro_Cálculo!AE$50</f>
        <v>1830.3189600000001</v>
      </c>
      <c r="AF67" s="116">
        <f>RGPS_Quantidade_Dezembro_Cálc!AF27/1000*RGPS_Valor_Dezembro_Cálculo!AF$50</f>
        <v>2119.2646800000007</v>
      </c>
      <c r="AG67" s="116">
        <f>RGPS_Quantidade_Dezembro_Cálc!AG27/1000*RGPS_Valor_Dezembro_Cálculo!AG$50</f>
        <v>2460.0053999999996</v>
      </c>
      <c r="AH67" s="116">
        <f>RGPS_Quantidade_Dezembro_Cálc!AH27/1000*RGPS_Valor_Dezembro_Cálculo!AH$50</f>
        <v>2828.9442999999997</v>
      </c>
      <c r="AI67" s="116">
        <f>RGPS_Quantidade_Dezembro_Cálc!AI27/1000*RGPS_Valor_Dezembro_Cálculo!AI$50</f>
        <v>3061.3700599999997</v>
      </c>
      <c r="AJ67" s="116">
        <f>RGPS_Quantidade_Dezembro_Cálc!AJ27/1000*RGPS_Valor_Dezembro_Cálculo!AJ$50</f>
        <v>3425.9839450000009</v>
      </c>
      <c r="AK67" s="116">
        <f>RGPS_Quantidade_Dezembro_Cálc!AK27/1000*RGPS_Valor_Dezembro_Cálculo!AK$50</f>
        <v>3887.6520299999993</v>
      </c>
      <c r="AL67" s="116">
        <f>RGPS_Quantidade_Dezembro_Cálc!AL27/1000*RGPS_Valor_Dezembro_Cálculo!AL$50</f>
        <v>4486.7556000000004</v>
      </c>
      <c r="AM67" s="116">
        <f>RGPS_Quantidade_Dezembro_Cálc!AM27/1000*RGPS_Valor_Dezembro_Cálculo!AM$50</f>
        <v>5015.1014450000002</v>
      </c>
      <c r="AN67" s="116">
        <f>RGPS_Quantidade_Dezembro_Cálc!AN27/1000*RGPS_Valor_Dezembro_Cálculo!AN$50</f>
        <v>5700.1118740000002</v>
      </c>
      <c r="AO67" s="116">
        <f>RGPS_Quantidade_Dezembro_Cálc!AO27/1000*RGPS_Valor_Dezembro_Cálculo!AO$50</f>
        <v>6479.3693759999978</v>
      </c>
      <c r="AP67" s="116">
        <f>RGPS_Quantidade_Dezembro_Cálc!AP27/1000*RGPS_Valor_Dezembro_Cálculo!AP$50</f>
        <v>7184.3475679999992</v>
      </c>
    </row>
    <row r="68" spans="2:42">
      <c r="D68" s="134"/>
    </row>
    <row r="69" spans="2:42">
      <c r="D69" s="134"/>
    </row>
  </sheetData>
  <mergeCells count="8">
    <mergeCell ref="B50:C50"/>
    <mergeCell ref="B49:AP49"/>
    <mergeCell ref="D2:O2"/>
    <mergeCell ref="Q2:AB2"/>
    <mergeCell ref="AD2:AO2"/>
    <mergeCell ref="D29:O29"/>
    <mergeCell ref="Q29:AB29"/>
    <mergeCell ref="AD29:AO29"/>
  </mergeCells>
  <pageMargins left="0.511811024" right="0.511811024" top="0.78740157499999996" bottom="0.78740157499999996" header="0.31496062000000002" footer="0.31496062000000002"/>
  <pageSetup paperSize="9" orientation="portrait" r:id="rId1"/>
  <ignoredErrors>
    <ignoredError sqref="AD33:AO46 Q33:AB46 D33:O46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P69"/>
  <sheetViews>
    <sheetView showGridLines="0" zoomScale="70" zoomScaleNormal="70" workbookViewId="0">
      <selection activeCell="S16" sqref="S16"/>
    </sheetView>
  </sheetViews>
  <sheetFormatPr defaultRowHeight="16.5"/>
  <cols>
    <col min="1" max="1" width="9.140625" style="99" customWidth="1"/>
    <col min="2" max="2" width="28.7109375" style="99" customWidth="1"/>
    <col min="3" max="3" width="14.140625" style="99" customWidth="1"/>
    <col min="4" max="15" width="8.7109375" style="99" customWidth="1"/>
    <col min="16" max="16" width="10" style="129" bestFit="1" customWidth="1"/>
    <col min="17" max="29" width="8.7109375" style="99" customWidth="1"/>
    <col min="30" max="32" width="8.85546875" style="99" bestFit="1" customWidth="1"/>
    <col min="33" max="33" width="8.5703125" style="99" bestFit="1" customWidth="1"/>
    <col min="34" max="34" width="9.28515625" style="99" bestFit="1" customWidth="1"/>
    <col min="35" max="35" width="8.85546875" style="99" bestFit="1" customWidth="1"/>
    <col min="36" max="36" width="9.28515625" style="99" bestFit="1" customWidth="1"/>
    <col min="37" max="37" width="8.85546875" style="99" bestFit="1" customWidth="1"/>
    <col min="38" max="39" width="9.28515625" style="99" bestFit="1" customWidth="1"/>
    <col min="40" max="40" width="8.28515625" style="99" bestFit="1" customWidth="1"/>
    <col min="41" max="42" width="8.7109375" style="99" customWidth="1"/>
    <col min="43" max="16384" width="9.140625" style="99"/>
  </cols>
  <sheetData>
    <row r="1" spans="1:42" ht="25.5" customHeight="1">
      <c r="T1" s="152"/>
      <c r="AG1" s="152"/>
    </row>
    <row r="2" spans="1:42" s="100" customFormat="1" ht="31.5" customHeight="1">
      <c r="A2" s="101"/>
      <c r="B2" s="133" t="s">
        <v>273</v>
      </c>
      <c r="C2" s="101"/>
      <c r="D2" s="632" t="s">
        <v>102</v>
      </c>
      <c r="E2" s="632"/>
      <c r="F2" s="632"/>
      <c r="G2" s="632"/>
      <c r="H2" s="632"/>
      <c r="I2" s="632"/>
      <c r="J2" s="632"/>
      <c r="K2" s="632"/>
      <c r="L2" s="632"/>
      <c r="M2" s="632"/>
      <c r="N2" s="632"/>
      <c r="O2" s="632"/>
      <c r="P2" s="130"/>
      <c r="Q2" s="632" t="s">
        <v>56</v>
      </c>
      <c r="R2" s="632"/>
      <c r="S2" s="632"/>
      <c r="T2" s="632"/>
      <c r="U2" s="632"/>
      <c r="V2" s="632"/>
      <c r="W2" s="632"/>
      <c r="X2" s="632"/>
      <c r="Y2" s="632"/>
      <c r="Z2" s="632"/>
      <c r="AA2" s="632"/>
      <c r="AB2" s="632"/>
      <c r="AC2" s="127"/>
      <c r="AD2" s="632" t="s">
        <v>37</v>
      </c>
      <c r="AE2" s="632"/>
      <c r="AF2" s="632"/>
      <c r="AG2" s="632"/>
      <c r="AH2" s="632"/>
      <c r="AI2" s="632"/>
      <c r="AJ2" s="632"/>
      <c r="AK2" s="632"/>
      <c r="AL2" s="632"/>
      <c r="AM2" s="632"/>
      <c r="AN2" s="632"/>
      <c r="AO2" s="632"/>
    </row>
    <row r="3" spans="1:42" ht="27" customHeight="1">
      <c r="B3" s="108"/>
      <c r="C3" s="108"/>
      <c r="D3" s="36">
        <v>2002</v>
      </c>
      <c r="E3" s="36">
        <v>2003</v>
      </c>
      <c r="F3" s="36">
        <v>2004</v>
      </c>
      <c r="G3" s="36">
        <v>2005</v>
      </c>
      <c r="H3" s="36">
        <v>2006</v>
      </c>
      <c r="I3" s="36">
        <v>2007</v>
      </c>
      <c r="J3" s="36">
        <v>2008</v>
      </c>
      <c r="K3" s="36">
        <v>2009</v>
      </c>
      <c r="L3" s="36">
        <v>2010</v>
      </c>
      <c r="M3" s="36">
        <v>2011</v>
      </c>
      <c r="N3" s="36">
        <v>2012</v>
      </c>
      <c r="O3" s="36">
        <v>2013</v>
      </c>
      <c r="P3" s="131">
        <v>2014</v>
      </c>
      <c r="Q3" s="36">
        <v>2002</v>
      </c>
      <c r="R3" s="36">
        <v>2003</v>
      </c>
      <c r="S3" s="36">
        <v>2004</v>
      </c>
      <c r="T3" s="36">
        <v>2005</v>
      </c>
      <c r="U3" s="36">
        <v>2006</v>
      </c>
      <c r="V3" s="36">
        <v>2007</v>
      </c>
      <c r="W3" s="36">
        <v>2008</v>
      </c>
      <c r="X3" s="36">
        <v>2009</v>
      </c>
      <c r="Y3" s="36">
        <v>2010</v>
      </c>
      <c r="Z3" s="36">
        <v>2011</v>
      </c>
      <c r="AA3" s="36">
        <v>2012</v>
      </c>
      <c r="AB3" s="36">
        <v>2013</v>
      </c>
      <c r="AC3" s="36">
        <v>2014</v>
      </c>
      <c r="AD3" s="36">
        <v>2002</v>
      </c>
      <c r="AE3" s="36">
        <v>2003</v>
      </c>
      <c r="AF3" s="36">
        <v>2004</v>
      </c>
      <c r="AG3" s="36">
        <v>2005</v>
      </c>
      <c r="AH3" s="36">
        <v>2006</v>
      </c>
      <c r="AI3" s="36">
        <v>2007</v>
      </c>
      <c r="AJ3" s="36">
        <v>2008</v>
      </c>
      <c r="AK3" s="36">
        <v>2009</v>
      </c>
      <c r="AL3" s="36">
        <v>2010</v>
      </c>
      <c r="AM3" s="36">
        <v>2011</v>
      </c>
      <c r="AN3" s="36">
        <v>2012</v>
      </c>
      <c r="AO3" s="36">
        <v>2013</v>
      </c>
      <c r="AP3" s="36">
        <v>2014</v>
      </c>
    </row>
    <row r="4" spans="1:42">
      <c r="B4" s="106" t="s">
        <v>53</v>
      </c>
      <c r="C4" s="105" t="s">
        <v>3</v>
      </c>
      <c r="D4" s="165">
        <v>30907.401662640004</v>
      </c>
      <c r="E4" s="165">
        <v>36473.773209999999</v>
      </c>
      <c r="F4" s="165">
        <v>41290.878212000003</v>
      </c>
      <c r="G4" s="165">
        <v>43989.357135999999</v>
      </c>
      <c r="H4" s="165">
        <v>46912.940950889999</v>
      </c>
      <c r="I4" s="165">
        <v>49988.925015330002</v>
      </c>
      <c r="J4" s="165">
        <v>55000.99411706</v>
      </c>
      <c r="K4" s="165">
        <v>61918.207261720003</v>
      </c>
      <c r="L4" s="165">
        <v>69318.781232270005</v>
      </c>
      <c r="M4" s="165">
        <v>76576.504663529995</v>
      </c>
      <c r="N4" s="165">
        <v>84681.22091638</v>
      </c>
      <c r="O4" s="165">
        <v>93608.014094569997</v>
      </c>
      <c r="P4" s="166">
        <v>102995.68824301999</v>
      </c>
      <c r="Q4" s="157">
        <v>36.015368359999997</v>
      </c>
      <c r="R4" s="157">
        <v>44.491855000000001</v>
      </c>
      <c r="S4" s="157">
        <v>52.326844000000001</v>
      </c>
      <c r="T4" s="157">
        <v>61.682842999999998</v>
      </c>
      <c r="U4" s="157">
        <v>73.148452550000002</v>
      </c>
      <c r="V4" s="157">
        <v>83.185084750000001</v>
      </c>
      <c r="W4" s="157">
        <v>94.73817068000001</v>
      </c>
      <c r="X4" s="157">
        <v>113.94066712999999</v>
      </c>
      <c r="Y4" s="157">
        <v>131.58201285999999</v>
      </c>
      <c r="Z4" s="157">
        <v>146.99325113999998</v>
      </c>
      <c r="AA4" s="158">
        <v>167.64550471000001</v>
      </c>
      <c r="AB4" s="158">
        <v>188.34356725000001</v>
      </c>
      <c r="AC4" s="158">
        <v>210.59892624999998</v>
      </c>
      <c r="AD4" s="159">
        <f>SUM(Q4,D4)</f>
        <v>30943.417031000004</v>
      </c>
      <c r="AE4" s="159">
        <f t="shared" ref="AE4:AE27" si="0">SUM(R4,E4)</f>
        <v>36518.265065</v>
      </c>
      <c r="AF4" s="159">
        <f t="shared" ref="AF4:AF27" si="1">SUM(S4,F4)</f>
        <v>41343.205056000006</v>
      </c>
      <c r="AG4" s="159">
        <f t="shared" ref="AG4:AG27" si="2">SUM(T4,G4)</f>
        <v>44051.039979000001</v>
      </c>
      <c r="AH4" s="159">
        <f t="shared" ref="AH4:AH27" si="3">SUM(U4,H4)</f>
        <v>46986.089403439997</v>
      </c>
      <c r="AI4" s="159">
        <f t="shared" ref="AI4:AI27" si="4">SUM(V4,I4)</f>
        <v>50072.110100080004</v>
      </c>
      <c r="AJ4" s="159">
        <f t="shared" ref="AJ4:AJ27" si="5">SUM(W4,J4)</f>
        <v>55095.73228774</v>
      </c>
      <c r="AK4" s="159">
        <f t="shared" ref="AK4:AK27" si="6">SUM(X4,K4)</f>
        <v>62032.147928850005</v>
      </c>
      <c r="AL4" s="159">
        <f t="shared" ref="AL4:AL27" si="7">SUM(Y4,L4)</f>
        <v>69450.363245130007</v>
      </c>
      <c r="AM4" s="159">
        <f t="shared" ref="AM4:AM27" si="8">SUM(Z4,M4)</f>
        <v>76723.497914669992</v>
      </c>
      <c r="AN4" s="159">
        <f t="shared" ref="AN4:AN27" si="9">SUM(AA4,N4)</f>
        <v>84848.866421090002</v>
      </c>
      <c r="AO4" s="159">
        <f t="shared" ref="AO4:AO27" si="10">SUM(AB4,O4)</f>
        <v>93796.357661820002</v>
      </c>
      <c r="AP4" s="159">
        <f t="shared" ref="AP4:AP27" si="11">SUM(AC4,P4)</f>
        <v>103206.28716926998</v>
      </c>
    </row>
    <row r="5" spans="1:42">
      <c r="B5" s="106"/>
      <c r="C5" s="37" t="s">
        <v>22</v>
      </c>
      <c r="D5" s="165">
        <f>D$4*D31</f>
        <v>866.788109462173</v>
      </c>
      <c r="E5" s="165">
        <f t="shared" ref="E5:P5" si="12">E$4*E31</f>
        <v>1025.5541556744686</v>
      </c>
      <c r="F5" s="165">
        <f t="shared" si="12"/>
        <v>1220.6410806909305</v>
      </c>
      <c r="G5" s="165">
        <f t="shared" si="12"/>
        <v>1567.8820132823255</v>
      </c>
      <c r="H5" s="165">
        <f t="shared" si="12"/>
        <v>2122.6801947968206</v>
      </c>
      <c r="I5" s="165">
        <f t="shared" si="12"/>
        <v>2542.4687796501407</v>
      </c>
      <c r="J5" s="165">
        <f t="shared" si="12"/>
        <v>3106.2065338957109</v>
      </c>
      <c r="K5" s="165">
        <f t="shared" si="12"/>
        <v>4047.9534964174827</v>
      </c>
      <c r="L5" s="165">
        <f t="shared" si="12"/>
        <v>4777.7217542664639</v>
      </c>
      <c r="M5" s="165">
        <f t="shared" si="12"/>
        <v>5348.4785383216995</v>
      </c>
      <c r="N5" s="165">
        <f t="shared" si="12"/>
        <v>6990.3925819612632</v>
      </c>
      <c r="O5" s="165">
        <f t="shared" si="12"/>
        <v>8191.7654387690454</v>
      </c>
      <c r="P5" s="166">
        <f t="shared" si="12"/>
        <v>10420.276303596729</v>
      </c>
      <c r="Q5" s="157">
        <f>Q$4*Q31</f>
        <v>4.5124879368810911</v>
      </c>
      <c r="R5" s="157">
        <f t="shared" ref="R5:AC5" si="13">R$4*R31</f>
        <v>5.4386219249722458</v>
      </c>
      <c r="S5" s="157">
        <f t="shared" si="13"/>
        <v>6.7437192187635526</v>
      </c>
      <c r="T5" s="157">
        <f t="shared" si="13"/>
        <v>10.591822796800503</v>
      </c>
      <c r="U5" s="157">
        <f t="shared" si="13"/>
        <v>16.584713392773118</v>
      </c>
      <c r="V5" s="157">
        <f t="shared" si="13"/>
        <v>21.861583078946818</v>
      </c>
      <c r="W5" s="157">
        <f t="shared" si="13"/>
        <v>28.287121919013682</v>
      </c>
      <c r="X5" s="157">
        <f t="shared" si="13"/>
        <v>40.687968524958428</v>
      </c>
      <c r="Y5" s="157">
        <f t="shared" si="13"/>
        <v>49.739687853410487</v>
      </c>
      <c r="Z5" s="157">
        <f t="shared" si="13"/>
        <v>57.768310776626798</v>
      </c>
      <c r="AA5" s="158">
        <f t="shared" si="13"/>
        <v>75.548506053672796</v>
      </c>
      <c r="AB5" s="158">
        <f t="shared" si="13"/>
        <v>89.936608009486775</v>
      </c>
      <c r="AC5" s="158">
        <f t="shared" si="13"/>
        <v>104.01040992347163</v>
      </c>
      <c r="AD5" s="159">
        <f t="shared" ref="AD5:AD27" si="14">SUM(Q5,D5)</f>
        <v>871.30059739905414</v>
      </c>
      <c r="AE5" s="159">
        <f t="shared" si="0"/>
        <v>1030.9927775994408</v>
      </c>
      <c r="AF5" s="159">
        <f t="shared" si="1"/>
        <v>1227.384799909694</v>
      </c>
      <c r="AG5" s="159">
        <f t="shared" si="2"/>
        <v>1578.4738360791259</v>
      </c>
      <c r="AH5" s="159">
        <f t="shared" si="3"/>
        <v>2139.2649081895938</v>
      </c>
      <c r="AI5" s="159">
        <f t="shared" si="4"/>
        <v>2564.3303627290875</v>
      </c>
      <c r="AJ5" s="159">
        <f t="shared" si="5"/>
        <v>3134.4936558147247</v>
      </c>
      <c r="AK5" s="159">
        <f t="shared" si="6"/>
        <v>4088.641464942441</v>
      </c>
      <c r="AL5" s="159">
        <f t="shared" si="7"/>
        <v>4827.4614421198748</v>
      </c>
      <c r="AM5" s="159">
        <f t="shared" si="8"/>
        <v>5406.2468490983265</v>
      </c>
      <c r="AN5" s="159">
        <f t="shared" si="9"/>
        <v>7065.9410880149362</v>
      </c>
      <c r="AO5" s="159">
        <f t="shared" si="10"/>
        <v>8281.7020467785314</v>
      </c>
      <c r="AP5" s="159">
        <f t="shared" si="11"/>
        <v>10524.286713520201</v>
      </c>
    </row>
    <row r="6" spans="1:42">
      <c r="B6" s="106"/>
      <c r="C6" s="37" t="s">
        <v>40</v>
      </c>
      <c r="D6" s="165">
        <f t="shared" ref="D6:AC6" si="15">D$4*D32</f>
        <v>30040.613553177835</v>
      </c>
      <c r="E6" s="165">
        <f t="shared" si="15"/>
        <v>35448.219054325527</v>
      </c>
      <c r="F6" s="165">
        <f t="shared" si="15"/>
        <v>40070.23713130907</v>
      </c>
      <c r="G6" s="165">
        <f t="shared" si="15"/>
        <v>42421.475122717675</v>
      </c>
      <c r="H6" s="165">
        <f t="shared" si="15"/>
        <v>44790.260756093179</v>
      </c>
      <c r="I6" s="165">
        <f t="shared" si="15"/>
        <v>47446.456235679863</v>
      </c>
      <c r="J6" s="165">
        <f t="shared" si="15"/>
        <v>51894.787583164289</v>
      </c>
      <c r="K6" s="165">
        <f t="shared" si="15"/>
        <v>57870.253765302521</v>
      </c>
      <c r="L6" s="165">
        <f t="shared" si="15"/>
        <v>64541.059478003546</v>
      </c>
      <c r="M6" s="165">
        <f t="shared" si="15"/>
        <v>71228.0261252083</v>
      </c>
      <c r="N6" s="165">
        <f t="shared" si="15"/>
        <v>77690.828334418737</v>
      </c>
      <c r="O6" s="165">
        <f t="shared" si="15"/>
        <v>85416.24865580094</v>
      </c>
      <c r="P6" s="166">
        <f t="shared" si="15"/>
        <v>92575.411939423269</v>
      </c>
      <c r="Q6" s="157">
        <f t="shared" si="15"/>
        <v>31.502880423118906</v>
      </c>
      <c r="R6" s="157">
        <f t="shared" si="15"/>
        <v>39.053233075027755</v>
      </c>
      <c r="S6" s="157">
        <f t="shared" si="15"/>
        <v>45.58312478123645</v>
      </c>
      <c r="T6" s="157">
        <f t="shared" si="15"/>
        <v>51.091020203199491</v>
      </c>
      <c r="U6" s="157">
        <f t="shared" si="15"/>
        <v>56.563739157226884</v>
      </c>
      <c r="V6" s="157">
        <f t="shared" si="15"/>
        <v>61.323501671053187</v>
      </c>
      <c r="W6" s="157">
        <f t="shared" si="15"/>
        <v>66.451048760986325</v>
      </c>
      <c r="X6" s="157">
        <f t="shared" si="15"/>
        <v>73.252698605041559</v>
      </c>
      <c r="Y6" s="157">
        <f t="shared" si="15"/>
        <v>81.842325006589505</v>
      </c>
      <c r="Z6" s="157">
        <f t="shared" si="15"/>
        <v>89.224940363373179</v>
      </c>
      <c r="AA6" s="158">
        <f t="shared" si="15"/>
        <v>92.096998656327216</v>
      </c>
      <c r="AB6" s="158">
        <f t="shared" si="15"/>
        <v>98.406959240513217</v>
      </c>
      <c r="AC6" s="158">
        <f t="shared" si="15"/>
        <v>106.58851632652835</v>
      </c>
      <c r="AD6" s="159">
        <f t="shared" si="14"/>
        <v>30072.116433600953</v>
      </c>
      <c r="AE6" s="159">
        <f t="shared" si="0"/>
        <v>35487.272287400556</v>
      </c>
      <c r="AF6" s="159">
        <f t="shared" si="1"/>
        <v>40115.820256090308</v>
      </c>
      <c r="AG6" s="159">
        <f t="shared" si="2"/>
        <v>42472.566142920878</v>
      </c>
      <c r="AH6" s="159">
        <f t="shared" si="3"/>
        <v>44846.824495250403</v>
      </c>
      <c r="AI6" s="159">
        <f t="shared" si="4"/>
        <v>47507.779737350917</v>
      </c>
      <c r="AJ6" s="159">
        <f t="shared" si="5"/>
        <v>51961.238631925276</v>
      </c>
      <c r="AK6" s="159">
        <f t="shared" si="6"/>
        <v>57943.506463907564</v>
      </c>
      <c r="AL6" s="159">
        <f t="shared" si="7"/>
        <v>64622.901803010136</v>
      </c>
      <c r="AM6" s="159">
        <f t="shared" si="8"/>
        <v>71317.251065571676</v>
      </c>
      <c r="AN6" s="159">
        <f t="shared" si="9"/>
        <v>77782.925333075065</v>
      </c>
      <c r="AO6" s="159">
        <f t="shared" si="10"/>
        <v>85514.655615041454</v>
      </c>
      <c r="AP6" s="159">
        <f t="shared" si="11"/>
        <v>92682.000455749803</v>
      </c>
    </row>
    <row r="7" spans="1:42">
      <c r="B7" s="106" t="s">
        <v>48</v>
      </c>
      <c r="C7" s="105" t="s">
        <v>3</v>
      </c>
      <c r="D7" s="165">
        <v>6446.7112413399991</v>
      </c>
      <c r="E7" s="165">
        <v>7948.3638060000003</v>
      </c>
      <c r="F7" s="165">
        <v>9571.9427820000001</v>
      </c>
      <c r="G7" s="165">
        <v>11074.521107</v>
      </c>
      <c r="H7" s="165">
        <v>12702.45555332</v>
      </c>
      <c r="I7" s="165">
        <v>14133.392925200002</v>
      </c>
      <c r="J7" s="165">
        <v>16094.388331729999</v>
      </c>
      <c r="K7" s="165">
        <v>19014.123836769999</v>
      </c>
      <c r="L7" s="165">
        <v>21979.808391939998</v>
      </c>
      <c r="M7" s="165">
        <v>24628.235623320001</v>
      </c>
      <c r="N7" s="165">
        <v>28755.190652959998</v>
      </c>
      <c r="O7" s="165">
        <v>33077.196237470002</v>
      </c>
      <c r="P7" s="165">
        <v>37518.27256369</v>
      </c>
      <c r="Q7" s="157">
        <v>10716.809819449998</v>
      </c>
      <c r="R7" s="157">
        <v>13077.209650000001</v>
      </c>
      <c r="S7" s="157">
        <v>14724.371223</v>
      </c>
      <c r="T7" s="157">
        <v>16815.160616000001</v>
      </c>
      <c r="U7" s="157">
        <v>19681.337817240001</v>
      </c>
      <c r="V7" s="157">
        <v>21915.413217240002</v>
      </c>
      <c r="W7" s="157">
        <v>24712.867900459998</v>
      </c>
      <c r="X7" s="157">
        <v>29070.024654150002</v>
      </c>
      <c r="Y7" s="157">
        <v>32822.90410629</v>
      </c>
      <c r="Z7" s="157">
        <v>35681.84215217</v>
      </c>
      <c r="AA7" s="158">
        <v>41692.418987080004</v>
      </c>
      <c r="AB7" s="158">
        <v>46708.838855670001</v>
      </c>
      <c r="AC7" s="158">
        <v>51300.54012854</v>
      </c>
      <c r="AD7" s="159">
        <f t="shared" si="14"/>
        <v>17163.521060789997</v>
      </c>
      <c r="AE7" s="159">
        <f t="shared" si="0"/>
        <v>21025.573456000002</v>
      </c>
      <c r="AF7" s="159">
        <f t="shared" si="1"/>
        <v>24296.314005</v>
      </c>
      <c r="AG7" s="159">
        <f t="shared" si="2"/>
        <v>27889.681723000002</v>
      </c>
      <c r="AH7" s="159">
        <f t="shared" si="3"/>
        <v>32383.793370560001</v>
      </c>
      <c r="AI7" s="159">
        <f t="shared" si="4"/>
        <v>36048.806142440008</v>
      </c>
      <c r="AJ7" s="159">
        <f t="shared" si="5"/>
        <v>40807.256232189997</v>
      </c>
      <c r="AK7" s="159">
        <f t="shared" si="6"/>
        <v>48084.148490920001</v>
      </c>
      <c r="AL7" s="159">
        <f t="shared" si="7"/>
        <v>54802.712498230001</v>
      </c>
      <c r="AM7" s="159">
        <f t="shared" si="8"/>
        <v>60310.077775490005</v>
      </c>
      <c r="AN7" s="159">
        <f t="shared" si="9"/>
        <v>70447.609640039998</v>
      </c>
      <c r="AO7" s="159">
        <f t="shared" si="10"/>
        <v>79786.035093140003</v>
      </c>
      <c r="AP7" s="159">
        <f t="shared" si="11"/>
        <v>88818.81269223</v>
      </c>
    </row>
    <row r="8" spans="1:42">
      <c r="B8" s="106"/>
      <c r="C8" s="37" t="s">
        <v>22</v>
      </c>
      <c r="D8" s="165">
        <f>D33*D$7</f>
        <v>2278.8756505430683</v>
      </c>
      <c r="E8" s="165">
        <f t="shared" ref="E8:AC8" si="16">E33*E$7</f>
        <v>2778.3647506320062</v>
      </c>
      <c r="F8" s="165">
        <f t="shared" si="16"/>
        <v>3499.0366492162898</v>
      </c>
      <c r="G8" s="165">
        <f t="shared" si="16"/>
        <v>4397.0214736666485</v>
      </c>
      <c r="H8" s="165">
        <f t="shared" si="16"/>
        <v>5596.3564150851598</v>
      </c>
      <c r="I8" s="165">
        <f t="shared" si="16"/>
        <v>6484.1891363998147</v>
      </c>
      <c r="J8" s="165">
        <f t="shared" si="16"/>
        <v>7560.3122732008042</v>
      </c>
      <c r="K8" s="165">
        <f t="shared" si="16"/>
        <v>9353.6829193051926</v>
      </c>
      <c r="L8" s="165">
        <f t="shared" si="16"/>
        <v>10890.354902725336</v>
      </c>
      <c r="M8" s="165">
        <f t="shared" si="16"/>
        <v>12098.831110089699</v>
      </c>
      <c r="N8" s="165">
        <f t="shared" si="16"/>
        <v>15063.341011899549</v>
      </c>
      <c r="O8" s="165">
        <f t="shared" si="16"/>
        <v>17570.793379848565</v>
      </c>
      <c r="P8" s="166">
        <f t="shared" si="16"/>
        <v>19922.317435427543</v>
      </c>
      <c r="Q8" s="157">
        <f t="shared" si="16"/>
        <v>10603.440038372359</v>
      </c>
      <c r="R8" s="157">
        <f t="shared" si="16"/>
        <v>12936.776690902703</v>
      </c>
      <c r="S8" s="157">
        <f t="shared" si="16"/>
        <v>14580.243584559334</v>
      </c>
      <c r="T8" s="157">
        <f t="shared" si="16"/>
        <v>16669.038615085326</v>
      </c>
      <c r="U8" s="157">
        <f t="shared" si="16"/>
        <v>19537.066001605242</v>
      </c>
      <c r="V8" s="157">
        <f t="shared" si="16"/>
        <v>21765.492998619917</v>
      </c>
      <c r="W8" s="157">
        <f t="shared" si="16"/>
        <v>24553.500204166037</v>
      </c>
      <c r="X8" s="157">
        <f t="shared" si="16"/>
        <v>28899.403985197572</v>
      </c>
      <c r="Y8" s="157">
        <f t="shared" si="16"/>
        <v>32632.499060316874</v>
      </c>
      <c r="Z8" s="157">
        <f t="shared" si="16"/>
        <v>35472.439758028653</v>
      </c>
      <c r="AA8" s="158">
        <f t="shared" si="16"/>
        <v>41473.944895349036</v>
      </c>
      <c r="AB8" s="158">
        <f t="shared" si="16"/>
        <v>46469.606377523785</v>
      </c>
      <c r="AC8" s="158">
        <f t="shared" si="16"/>
        <v>51031.517617749603</v>
      </c>
      <c r="AD8" s="159">
        <f t="shared" si="14"/>
        <v>12882.315688915427</v>
      </c>
      <c r="AE8" s="159">
        <f t="shared" si="0"/>
        <v>15715.14144153471</v>
      </c>
      <c r="AF8" s="159">
        <f t="shared" si="1"/>
        <v>18079.280233775622</v>
      </c>
      <c r="AG8" s="159">
        <f t="shared" si="2"/>
        <v>21066.060088751976</v>
      </c>
      <c r="AH8" s="159">
        <f t="shared" si="3"/>
        <v>25133.422416690402</v>
      </c>
      <c r="AI8" s="159">
        <f t="shared" si="4"/>
        <v>28249.682135019732</v>
      </c>
      <c r="AJ8" s="159">
        <f t="shared" si="5"/>
        <v>32113.812477366842</v>
      </c>
      <c r="AK8" s="159">
        <f t="shared" si="6"/>
        <v>38253.086904502765</v>
      </c>
      <c r="AL8" s="159">
        <f t="shared" si="7"/>
        <v>43522.853963042209</v>
      </c>
      <c r="AM8" s="159">
        <f t="shared" si="8"/>
        <v>47571.27086811835</v>
      </c>
      <c r="AN8" s="159">
        <f t="shared" si="9"/>
        <v>56537.285907248588</v>
      </c>
      <c r="AO8" s="159">
        <f t="shared" si="10"/>
        <v>64040.399757372346</v>
      </c>
      <c r="AP8" s="159">
        <f t="shared" si="11"/>
        <v>70953.835053177143</v>
      </c>
    </row>
    <row r="9" spans="1:42">
      <c r="B9" s="106"/>
      <c r="C9" s="37" t="s">
        <v>40</v>
      </c>
      <c r="D9" s="165">
        <f t="shared" ref="D9:AC9" si="17">D34*D$7</f>
        <v>4167.8355907969308</v>
      </c>
      <c r="E9" s="165">
        <f t="shared" si="17"/>
        <v>5169.9990553679936</v>
      </c>
      <c r="F9" s="165">
        <f t="shared" si="17"/>
        <v>6072.9061327837098</v>
      </c>
      <c r="G9" s="165">
        <f t="shared" si="17"/>
        <v>6677.499633333352</v>
      </c>
      <c r="H9" s="165">
        <f t="shared" si="17"/>
        <v>7106.0991382348402</v>
      </c>
      <c r="I9" s="165">
        <f t="shared" si="17"/>
        <v>7649.2037888001869</v>
      </c>
      <c r="J9" s="165">
        <f t="shared" si="17"/>
        <v>8534.0760585291937</v>
      </c>
      <c r="K9" s="165">
        <f t="shared" si="17"/>
        <v>9660.4409174648063</v>
      </c>
      <c r="L9" s="165">
        <f t="shared" si="17"/>
        <v>11089.453489214662</v>
      </c>
      <c r="M9" s="165">
        <f t="shared" si="17"/>
        <v>12529.404513230304</v>
      </c>
      <c r="N9" s="165">
        <f t="shared" si="17"/>
        <v>13691.849641060449</v>
      </c>
      <c r="O9" s="165">
        <f t="shared" si="17"/>
        <v>15506.402857621437</v>
      </c>
      <c r="P9" s="166">
        <f t="shared" si="17"/>
        <v>17595.955128262456</v>
      </c>
      <c r="Q9" s="157">
        <f t="shared" si="17"/>
        <v>113.36978107764024</v>
      </c>
      <c r="R9" s="157">
        <f t="shared" si="17"/>
        <v>140.43295909729716</v>
      </c>
      <c r="S9" s="157">
        <f t="shared" si="17"/>
        <v>144.12763844066612</v>
      </c>
      <c r="T9" s="157">
        <f t="shared" si="17"/>
        <v>146.12200091467471</v>
      </c>
      <c r="U9" s="157">
        <f t="shared" si="17"/>
        <v>144.27181563475656</v>
      </c>
      <c r="V9" s="157">
        <f t="shared" si="17"/>
        <v>149.92021862008693</v>
      </c>
      <c r="W9" s="157">
        <f t="shared" si="17"/>
        <v>159.36769629396011</v>
      </c>
      <c r="X9" s="157">
        <f t="shared" si="17"/>
        <v>170.6206689524287</v>
      </c>
      <c r="Y9" s="157">
        <f t="shared" si="17"/>
        <v>190.40504597312548</v>
      </c>
      <c r="Z9" s="157">
        <f t="shared" si="17"/>
        <v>209.4023941413451</v>
      </c>
      <c r="AA9" s="158">
        <f t="shared" si="17"/>
        <v>218.47409173096747</v>
      </c>
      <c r="AB9" s="158">
        <f t="shared" si="17"/>
        <v>239.23247814621212</v>
      </c>
      <c r="AC9" s="158">
        <f t="shared" si="17"/>
        <v>269.02251079040036</v>
      </c>
      <c r="AD9" s="159">
        <f t="shared" si="14"/>
        <v>4281.205371874571</v>
      </c>
      <c r="AE9" s="159">
        <f t="shared" si="0"/>
        <v>5310.4320144652911</v>
      </c>
      <c r="AF9" s="159">
        <f t="shared" si="1"/>
        <v>6217.0337712243763</v>
      </c>
      <c r="AG9" s="159">
        <f t="shared" si="2"/>
        <v>6823.6216342480266</v>
      </c>
      <c r="AH9" s="159">
        <f t="shared" si="3"/>
        <v>7250.3709538695966</v>
      </c>
      <c r="AI9" s="159">
        <f t="shared" si="4"/>
        <v>7799.1240074202742</v>
      </c>
      <c r="AJ9" s="159">
        <f t="shared" si="5"/>
        <v>8693.4437548231544</v>
      </c>
      <c r="AK9" s="159">
        <f t="shared" si="6"/>
        <v>9831.0615864172341</v>
      </c>
      <c r="AL9" s="159">
        <f t="shared" si="7"/>
        <v>11279.858535187788</v>
      </c>
      <c r="AM9" s="159">
        <f t="shared" si="8"/>
        <v>12738.806907371649</v>
      </c>
      <c r="AN9" s="159">
        <f t="shared" si="9"/>
        <v>13910.323732791418</v>
      </c>
      <c r="AO9" s="159">
        <f t="shared" si="10"/>
        <v>15745.635335767649</v>
      </c>
      <c r="AP9" s="159">
        <f t="shared" si="11"/>
        <v>17864.977639052857</v>
      </c>
    </row>
    <row r="10" spans="1:42">
      <c r="B10" s="106" t="s">
        <v>23</v>
      </c>
      <c r="C10" s="105" t="s">
        <v>3</v>
      </c>
      <c r="D10" s="165">
        <v>7752.0609531900009</v>
      </c>
      <c r="E10" s="165">
        <v>9835.6679189999995</v>
      </c>
      <c r="F10" s="165">
        <v>11731.887298</v>
      </c>
      <c r="G10" s="165">
        <v>13588.63831</v>
      </c>
      <c r="H10" s="165">
        <v>15745.272394510001</v>
      </c>
      <c r="I10" s="165">
        <v>16892.86740404</v>
      </c>
      <c r="J10" s="165">
        <v>18998.663420459998</v>
      </c>
      <c r="K10" s="165">
        <v>21844.580386229998</v>
      </c>
      <c r="L10" s="165">
        <v>24544.153780159999</v>
      </c>
      <c r="M10" s="165">
        <v>26866.072635069999</v>
      </c>
      <c r="N10" s="165">
        <v>30137.95069804</v>
      </c>
      <c r="O10" s="165">
        <v>33615.521528399993</v>
      </c>
      <c r="P10" s="166">
        <v>36697.915315630002</v>
      </c>
      <c r="Q10" s="157">
        <v>1103.1225589600003</v>
      </c>
      <c r="R10" s="157">
        <v>1324.7711489999999</v>
      </c>
      <c r="S10" s="157">
        <v>1473.2014240000001</v>
      </c>
      <c r="T10" s="157">
        <v>1657.831856</v>
      </c>
      <c r="U10" s="157">
        <v>1900.6381861099999</v>
      </c>
      <c r="V10" s="157">
        <v>2014.6019393900001</v>
      </c>
      <c r="W10" s="157">
        <v>2186.9333888999995</v>
      </c>
      <c r="X10" s="157">
        <v>2477.8060506399997</v>
      </c>
      <c r="Y10" s="157">
        <v>2713.94111982</v>
      </c>
      <c r="Z10" s="157">
        <v>2881.6426141699994</v>
      </c>
      <c r="AA10" s="158">
        <v>3295.7701038699997</v>
      </c>
      <c r="AB10" s="158">
        <v>3621.8288325200001</v>
      </c>
      <c r="AC10" s="158">
        <v>3935.3051860099999</v>
      </c>
      <c r="AD10" s="159">
        <f t="shared" si="14"/>
        <v>8855.1835121500008</v>
      </c>
      <c r="AE10" s="159">
        <f t="shared" si="0"/>
        <v>11160.439068</v>
      </c>
      <c r="AF10" s="159">
        <f t="shared" si="1"/>
        <v>13205.088722</v>
      </c>
      <c r="AG10" s="159">
        <f t="shared" si="2"/>
        <v>15246.470166000001</v>
      </c>
      <c r="AH10" s="159">
        <f t="shared" si="3"/>
        <v>17645.910580620002</v>
      </c>
      <c r="AI10" s="159">
        <f t="shared" si="4"/>
        <v>18907.469343429999</v>
      </c>
      <c r="AJ10" s="159">
        <f t="shared" si="5"/>
        <v>21185.596809359999</v>
      </c>
      <c r="AK10" s="159">
        <f t="shared" si="6"/>
        <v>24322.386436869998</v>
      </c>
      <c r="AL10" s="159">
        <f t="shared" si="7"/>
        <v>27258.094899979998</v>
      </c>
      <c r="AM10" s="159">
        <f t="shared" si="8"/>
        <v>29747.715249239998</v>
      </c>
      <c r="AN10" s="159">
        <f t="shared" si="9"/>
        <v>33433.72080191</v>
      </c>
      <c r="AO10" s="159">
        <f t="shared" si="10"/>
        <v>37237.350360919991</v>
      </c>
      <c r="AP10" s="159">
        <f t="shared" si="11"/>
        <v>40633.220501640004</v>
      </c>
    </row>
    <row r="11" spans="1:42">
      <c r="B11" s="106"/>
      <c r="C11" s="37" t="s">
        <v>22</v>
      </c>
      <c r="D11" s="165">
        <f>D$10*D35</f>
        <v>3150.8096398943867</v>
      </c>
      <c r="E11" s="165">
        <f t="shared" ref="E11:AC11" si="18">E$10*E35</f>
        <v>3607.350032091425</v>
      </c>
      <c r="F11" s="165">
        <f t="shared" si="18"/>
        <v>3983.3741226987045</v>
      </c>
      <c r="G11" s="165">
        <f t="shared" si="18"/>
        <v>4620.5952853065492</v>
      </c>
      <c r="H11" s="165">
        <f t="shared" si="18"/>
        <v>5672.5710219694165</v>
      </c>
      <c r="I11" s="165">
        <f t="shared" si="18"/>
        <v>6236.2135121497404</v>
      </c>
      <c r="J11" s="165">
        <f t="shared" si="18"/>
        <v>6912.9141647847418</v>
      </c>
      <c r="K11" s="165">
        <f t="shared" si="18"/>
        <v>8067.9668239614894</v>
      </c>
      <c r="L11" s="165">
        <f t="shared" si="18"/>
        <v>8772.7653908557586</v>
      </c>
      <c r="M11" s="165">
        <f t="shared" si="18"/>
        <v>9224.3242610596371</v>
      </c>
      <c r="N11" s="165">
        <f t="shared" si="18"/>
        <v>11033.748316789335</v>
      </c>
      <c r="O11" s="165">
        <f t="shared" si="18"/>
        <v>11984.049670244189</v>
      </c>
      <c r="P11" s="166">
        <f t="shared" si="18"/>
        <v>12881.616915821704</v>
      </c>
      <c r="Q11" s="157">
        <f t="shared" si="18"/>
        <v>1024.0550812073197</v>
      </c>
      <c r="R11" s="157">
        <f t="shared" si="18"/>
        <v>1215.4794407582865</v>
      </c>
      <c r="S11" s="157">
        <f t="shared" si="18"/>
        <v>1350.1239438591547</v>
      </c>
      <c r="T11" s="157">
        <f t="shared" si="18"/>
        <v>1535.1472284689003</v>
      </c>
      <c r="U11" s="157">
        <f t="shared" si="18"/>
        <v>1786.8451801091585</v>
      </c>
      <c r="V11" s="157">
        <f t="shared" si="18"/>
        <v>1905.5984431630081</v>
      </c>
      <c r="W11" s="157">
        <f t="shared" si="18"/>
        <v>2080.2094946267989</v>
      </c>
      <c r="X11" s="157">
        <f t="shared" si="18"/>
        <v>2372.7143740220508</v>
      </c>
      <c r="Y11" s="157">
        <f t="shared" si="18"/>
        <v>2604.8331273557924</v>
      </c>
      <c r="Z11" s="157">
        <f t="shared" si="18"/>
        <v>2769.00064440101</v>
      </c>
      <c r="AA11" s="158">
        <f t="shared" si="18"/>
        <v>3188.9830258545794</v>
      </c>
      <c r="AB11" s="158">
        <f t="shared" si="18"/>
        <v>3511.9220119445754</v>
      </c>
      <c r="AC11" s="158">
        <f t="shared" si="18"/>
        <v>3822.1924440975586</v>
      </c>
      <c r="AD11" s="159">
        <f t="shared" si="14"/>
        <v>4174.8647211017069</v>
      </c>
      <c r="AE11" s="159">
        <f t="shared" si="0"/>
        <v>4822.8294728497112</v>
      </c>
      <c r="AF11" s="159">
        <f t="shared" si="1"/>
        <v>5333.4980665578587</v>
      </c>
      <c r="AG11" s="159">
        <f t="shared" si="2"/>
        <v>6155.742513775449</v>
      </c>
      <c r="AH11" s="159">
        <f t="shared" si="3"/>
        <v>7459.4162020785752</v>
      </c>
      <c r="AI11" s="159">
        <f t="shared" si="4"/>
        <v>8141.811955312749</v>
      </c>
      <c r="AJ11" s="159">
        <f t="shared" si="5"/>
        <v>8993.1236594115398</v>
      </c>
      <c r="AK11" s="159">
        <f t="shared" si="6"/>
        <v>10440.68119798354</v>
      </c>
      <c r="AL11" s="159">
        <f t="shared" si="7"/>
        <v>11377.598518211551</v>
      </c>
      <c r="AM11" s="159">
        <f t="shared" si="8"/>
        <v>11993.324905460648</v>
      </c>
      <c r="AN11" s="159">
        <f t="shared" si="9"/>
        <v>14222.731342643914</v>
      </c>
      <c r="AO11" s="159">
        <f t="shared" si="10"/>
        <v>15495.971682188763</v>
      </c>
      <c r="AP11" s="159">
        <f t="shared" si="11"/>
        <v>16703.809359919262</v>
      </c>
    </row>
    <row r="12" spans="1:42">
      <c r="B12" s="106"/>
      <c r="C12" s="37" t="s">
        <v>40</v>
      </c>
      <c r="D12" s="165">
        <f t="shared" ref="D12:AC12" si="19">D$10*D36</f>
        <v>4601.2513132956137</v>
      </c>
      <c r="E12" s="165">
        <f t="shared" si="19"/>
        <v>6228.3178869085741</v>
      </c>
      <c r="F12" s="165">
        <f t="shared" si="19"/>
        <v>7748.5131753012956</v>
      </c>
      <c r="G12" s="165">
        <f t="shared" si="19"/>
        <v>8968.043024693452</v>
      </c>
      <c r="H12" s="165">
        <f t="shared" si="19"/>
        <v>10072.701372540583</v>
      </c>
      <c r="I12" s="165">
        <f t="shared" si="19"/>
        <v>10656.653891890261</v>
      </c>
      <c r="J12" s="165">
        <f t="shared" si="19"/>
        <v>12085.749255675255</v>
      </c>
      <c r="K12" s="165">
        <f t="shared" si="19"/>
        <v>13776.613562268507</v>
      </c>
      <c r="L12" s="165">
        <f t="shared" si="19"/>
        <v>15771.38838930424</v>
      </c>
      <c r="M12" s="165">
        <f t="shared" si="19"/>
        <v>17641.748374010363</v>
      </c>
      <c r="N12" s="165">
        <f t="shared" si="19"/>
        <v>19104.202381250663</v>
      </c>
      <c r="O12" s="165">
        <f t="shared" si="19"/>
        <v>21631.471858155805</v>
      </c>
      <c r="P12" s="166">
        <f t="shared" si="19"/>
        <v>23816.298399808296</v>
      </c>
      <c r="Q12" s="157">
        <f t="shared" si="19"/>
        <v>79.067477752680688</v>
      </c>
      <c r="R12" s="157">
        <f t="shared" si="19"/>
        <v>109.29170824171347</v>
      </c>
      <c r="S12" s="157">
        <f t="shared" si="19"/>
        <v>123.07748014084552</v>
      </c>
      <c r="T12" s="157">
        <f t="shared" si="19"/>
        <v>122.68462753109969</v>
      </c>
      <c r="U12" s="157">
        <f t="shared" si="19"/>
        <v>113.79300600084149</v>
      </c>
      <c r="V12" s="157">
        <f t="shared" si="19"/>
        <v>109.00349622699197</v>
      </c>
      <c r="W12" s="157">
        <f t="shared" si="19"/>
        <v>106.72389427320067</v>
      </c>
      <c r="X12" s="157">
        <f t="shared" si="19"/>
        <v>105.09167661794886</v>
      </c>
      <c r="Y12" s="157">
        <f t="shared" si="19"/>
        <v>109.10799246420756</v>
      </c>
      <c r="Z12" s="157">
        <f t="shared" si="19"/>
        <v>112.64196976898945</v>
      </c>
      <c r="AA12" s="158">
        <f t="shared" si="19"/>
        <v>106.78707801542033</v>
      </c>
      <c r="AB12" s="158">
        <f t="shared" si="19"/>
        <v>109.90682057542487</v>
      </c>
      <c r="AC12" s="158">
        <f t="shared" si="19"/>
        <v>113.11274191244138</v>
      </c>
      <c r="AD12" s="159">
        <f t="shared" si="14"/>
        <v>4680.3187910482948</v>
      </c>
      <c r="AE12" s="159">
        <f t="shared" si="0"/>
        <v>6337.6095951502875</v>
      </c>
      <c r="AF12" s="159">
        <f t="shared" si="1"/>
        <v>7871.5906554421408</v>
      </c>
      <c r="AG12" s="159">
        <f t="shared" si="2"/>
        <v>9090.727652224552</v>
      </c>
      <c r="AH12" s="159">
        <f t="shared" si="3"/>
        <v>10186.494378541425</v>
      </c>
      <c r="AI12" s="159">
        <f t="shared" si="4"/>
        <v>10765.657388117254</v>
      </c>
      <c r="AJ12" s="159">
        <f t="shared" si="5"/>
        <v>12192.473149948455</v>
      </c>
      <c r="AK12" s="159">
        <f t="shared" si="6"/>
        <v>13881.705238886456</v>
      </c>
      <c r="AL12" s="159">
        <f t="shared" si="7"/>
        <v>15880.496381768447</v>
      </c>
      <c r="AM12" s="159">
        <f t="shared" si="8"/>
        <v>17754.390343779352</v>
      </c>
      <c r="AN12" s="159">
        <f t="shared" si="9"/>
        <v>19210.989459266082</v>
      </c>
      <c r="AO12" s="159">
        <f t="shared" si="10"/>
        <v>21741.378678731231</v>
      </c>
      <c r="AP12" s="159">
        <f t="shared" si="11"/>
        <v>23929.411141720739</v>
      </c>
    </row>
    <row r="13" spans="1:42">
      <c r="B13" s="106" t="s">
        <v>24</v>
      </c>
      <c r="C13" s="105" t="s">
        <v>3</v>
      </c>
      <c r="D13" s="165">
        <v>16323.366764259999</v>
      </c>
      <c r="E13" s="165">
        <v>19838.148655000001</v>
      </c>
      <c r="F13" s="165">
        <v>22970.034518</v>
      </c>
      <c r="G13" s="165">
        <v>25154.275751000001</v>
      </c>
      <c r="H13" s="165">
        <v>27975.454180029999</v>
      </c>
      <c r="I13" s="165">
        <v>30489.553599039999</v>
      </c>
      <c r="J13" s="165">
        <v>33927.297559430001</v>
      </c>
      <c r="K13" s="165">
        <v>38671.215144529997</v>
      </c>
      <c r="L13" s="165">
        <v>43570.917915909995</v>
      </c>
      <c r="M13" s="165">
        <v>47904.310992050006</v>
      </c>
      <c r="N13" s="165">
        <v>53817.93397813</v>
      </c>
      <c r="O13" s="165">
        <v>59901.396610659998</v>
      </c>
      <c r="P13" s="166">
        <v>65685.78666138</v>
      </c>
      <c r="Q13" s="157">
        <v>4297.4535728399997</v>
      </c>
      <c r="R13" s="157">
        <v>5216.0766169999997</v>
      </c>
      <c r="S13" s="157">
        <v>5892.870664</v>
      </c>
      <c r="T13" s="157">
        <v>6707.6497429999999</v>
      </c>
      <c r="U13" s="157">
        <v>7809.9819501400007</v>
      </c>
      <c r="V13" s="157">
        <v>8651.6862849999998</v>
      </c>
      <c r="W13" s="157">
        <v>9689.9203396899993</v>
      </c>
      <c r="X13" s="157">
        <v>11282.938692350001</v>
      </c>
      <c r="Y13" s="157">
        <v>12640.884025559999</v>
      </c>
      <c r="Z13" s="157">
        <v>13659.3896055</v>
      </c>
      <c r="AA13" s="158">
        <v>15860.698238819999</v>
      </c>
      <c r="AB13" s="158">
        <v>17662.004809890001</v>
      </c>
      <c r="AC13" s="158">
        <v>19295.3440887</v>
      </c>
      <c r="AD13" s="159">
        <f t="shared" si="14"/>
        <v>20620.820337099998</v>
      </c>
      <c r="AE13" s="159">
        <f t="shared" si="0"/>
        <v>25054.225272</v>
      </c>
      <c r="AF13" s="159">
        <f t="shared" si="1"/>
        <v>28862.905182000002</v>
      </c>
      <c r="AG13" s="159">
        <f t="shared" si="2"/>
        <v>31861.925494000003</v>
      </c>
      <c r="AH13" s="159">
        <f t="shared" si="3"/>
        <v>35785.436130169997</v>
      </c>
      <c r="AI13" s="159">
        <f t="shared" si="4"/>
        <v>39141.239884039998</v>
      </c>
      <c r="AJ13" s="159">
        <f t="shared" si="5"/>
        <v>43617.217899119998</v>
      </c>
      <c r="AK13" s="159">
        <f t="shared" si="6"/>
        <v>49954.153836879996</v>
      </c>
      <c r="AL13" s="159">
        <f t="shared" si="7"/>
        <v>56211.801941469996</v>
      </c>
      <c r="AM13" s="159">
        <f t="shared" si="8"/>
        <v>61563.700597550007</v>
      </c>
      <c r="AN13" s="159">
        <f t="shared" si="9"/>
        <v>69678.632216950005</v>
      </c>
      <c r="AO13" s="159">
        <f t="shared" si="10"/>
        <v>77563.401420549999</v>
      </c>
      <c r="AP13" s="159">
        <f t="shared" si="11"/>
        <v>84981.130750080003</v>
      </c>
    </row>
    <row r="14" spans="1:42">
      <c r="B14" s="106"/>
      <c r="C14" s="37" t="s">
        <v>22</v>
      </c>
      <c r="D14" s="165">
        <f>D$13*D37</f>
        <v>5105.6812452276026</v>
      </c>
      <c r="E14" s="165">
        <f t="shared" ref="E14:AC14" si="20">E$13*E37</f>
        <v>5969.077138351473</v>
      </c>
      <c r="F14" s="165">
        <f t="shared" si="20"/>
        <v>6679.4223695712826</v>
      </c>
      <c r="G14" s="165">
        <f t="shared" si="20"/>
        <v>7828.6893147100573</v>
      </c>
      <c r="H14" s="165">
        <f t="shared" si="20"/>
        <v>9356.3244631409216</v>
      </c>
      <c r="I14" s="165">
        <f t="shared" si="20"/>
        <v>10444.700180617318</v>
      </c>
      <c r="J14" s="165">
        <f t="shared" si="20"/>
        <v>11700.122287917344</v>
      </c>
      <c r="K14" s="165">
        <f t="shared" si="20"/>
        <v>13684.65749952469</v>
      </c>
      <c r="L14" s="165">
        <f t="shared" si="20"/>
        <v>15023.352254769074</v>
      </c>
      <c r="M14" s="165">
        <f t="shared" si="20"/>
        <v>15960.154139163871</v>
      </c>
      <c r="N14" s="165">
        <f t="shared" si="20"/>
        <v>19181.141265742513</v>
      </c>
      <c r="O14" s="165">
        <f t="shared" si="20"/>
        <v>21049.89566380197</v>
      </c>
      <c r="P14" s="166">
        <f t="shared" si="20"/>
        <v>22686.007079637791</v>
      </c>
      <c r="Q14" s="157">
        <f t="shared" si="20"/>
        <v>4173.6223481039251</v>
      </c>
      <c r="R14" s="157">
        <f t="shared" si="20"/>
        <v>5055.0134575257653</v>
      </c>
      <c r="S14" s="157">
        <f t="shared" si="20"/>
        <v>5714.5985747900977</v>
      </c>
      <c r="T14" s="157">
        <f t="shared" si="20"/>
        <v>6536.1418427373619</v>
      </c>
      <c r="U14" s="157">
        <f t="shared" si="20"/>
        <v>7643.6849922712117</v>
      </c>
      <c r="V14" s="157">
        <f t="shared" si="20"/>
        <v>8483.7632218565923</v>
      </c>
      <c r="W14" s="157">
        <f t="shared" si="20"/>
        <v>9512.245118439585</v>
      </c>
      <c r="X14" s="157">
        <f t="shared" si="20"/>
        <v>11094.317017666493</v>
      </c>
      <c r="Y14" s="157">
        <f t="shared" si="20"/>
        <v>12426.777947889392</v>
      </c>
      <c r="Z14" s="157">
        <f t="shared" si="20"/>
        <v>13427.374111677527</v>
      </c>
      <c r="AA14" s="158">
        <f t="shared" si="20"/>
        <v>15634.708631456233</v>
      </c>
      <c r="AB14" s="158">
        <f t="shared" si="20"/>
        <v>17415.444512103248</v>
      </c>
      <c r="AC14" s="158">
        <f t="shared" si="20"/>
        <v>19030.216868374591</v>
      </c>
      <c r="AD14" s="159">
        <f t="shared" si="14"/>
        <v>9279.3035933315277</v>
      </c>
      <c r="AE14" s="159">
        <f t="shared" si="0"/>
        <v>11024.090595877238</v>
      </c>
      <c r="AF14" s="159">
        <f t="shared" si="1"/>
        <v>12394.02094436138</v>
      </c>
      <c r="AG14" s="159">
        <f t="shared" si="2"/>
        <v>14364.831157447419</v>
      </c>
      <c r="AH14" s="159">
        <f t="shared" si="3"/>
        <v>17000.009455412132</v>
      </c>
      <c r="AI14" s="159">
        <f t="shared" si="4"/>
        <v>18928.46340247391</v>
      </c>
      <c r="AJ14" s="159">
        <f t="shared" si="5"/>
        <v>21212.367406356927</v>
      </c>
      <c r="AK14" s="159">
        <f t="shared" si="6"/>
        <v>24778.974517191185</v>
      </c>
      <c r="AL14" s="159">
        <f t="shared" si="7"/>
        <v>27450.130202658467</v>
      </c>
      <c r="AM14" s="159">
        <f t="shared" si="8"/>
        <v>29387.528250841398</v>
      </c>
      <c r="AN14" s="159">
        <f t="shared" si="9"/>
        <v>34815.849897198743</v>
      </c>
      <c r="AO14" s="159">
        <f t="shared" si="10"/>
        <v>38465.340175905221</v>
      </c>
      <c r="AP14" s="159">
        <f t="shared" si="11"/>
        <v>41716.223948012383</v>
      </c>
    </row>
    <row r="15" spans="1:42">
      <c r="B15" s="106"/>
      <c r="C15" s="37" t="s">
        <v>40</v>
      </c>
      <c r="D15" s="165">
        <f t="shared" ref="D15:AC15" si="21">D$13*D38</f>
        <v>11217.685519032397</v>
      </c>
      <c r="E15" s="165">
        <f t="shared" si="21"/>
        <v>13869.071516648528</v>
      </c>
      <c r="F15" s="165">
        <f t="shared" si="21"/>
        <v>16290.612148428718</v>
      </c>
      <c r="G15" s="165">
        <f t="shared" si="21"/>
        <v>17325.586436289941</v>
      </c>
      <c r="H15" s="165">
        <f t="shared" si="21"/>
        <v>18619.129716889078</v>
      </c>
      <c r="I15" s="165">
        <f t="shared" si="21"/>
        <v>20044.853418422681</v>
      </c>
      <c r="J15" s="165">
        <f t="shared" si="21"/>
        <v>22227.175271512657</v>
      </c>
      <c r="K15" s="165">
        <f t="shared" si="21"/>
        <v>24986.557645005309</v>
      </c>
      <c r="L15" s="165">
        <f t="shared" si="21"/>
        <v>28547.565661140925</v>
      </c>
      <c r="M15" s="165">
        <f t="shared" si="21"/>
        <v>31944.156852886135</v>
      </c>
      <c r="N15" s="165">
        <f t="shared" si="21"/>
        <v>34636.792712387483</v>
      </c>
      <c r="O15" s="165">
        <f t="shared" si="21"/>
        <v>38851.500946858032</v>
      </c>
      <c r="P15" s="166">
        <f t="shared" si="21"/>
        <v>42999.779581742208</v>
      </c>
      <c r="Q15" s="157">
        <f t="shared" si="21"/>
        <v>123.8312247360742</v>
      </c>
      <c r="R15" s="157">
        <f t="shared" si="21"/>
        <v>161.06315947423474</v>
      </c>
      <c r="S15" s="157">
        <f t="shared" si="21"/>
        <v>178.27208920990213</v>
      </c>
      <c r="T15" s="157">
        <f t="shared" si="21"/>
        <v>171.50790026263823</v>
      </c>
      <c r="U15" s="157">
        <f t="shared" si="21"/>
        <v>166.29695786878932</v>
      </c>
      <c r="V15" s="157">
        <f t="shared" si="21"/>
        <v>167.92306314340763</v>
      </c>
      <c r="W15" s="157">
        <f t="shared" si="21"/>
        <v>177.67522125041441</v>
      </c>
      <c r="X15" s="157">
        <f t="shared" si="21"/>
        <v>188.62167468350754</v>
      </c>
      <c r="Y15" s="157">
        <f t="shared" si="21"/>
        <v>214.10607767060631</v>
      </c>
      <c r="Z15" s="157">
        <f t="shared" si="21"/>
        <v>232.01549382247234</v>
      </c>
      <c r="AA15" s="158">
        <f t="shared" si="21"/>
        <v>225.98960736376557</v>
      </c>
      <c r="AB15" s="158">
        <f t="shared" si="21"/>
        <v>246.56029778675165</v>
      </c>
      <c r="AC15" s="158">
        <f t="shared" si="21"/>
        <v>265.12722032540722</v>
      </c>
      <c r="AD15" s="159">
        <f t="shared" si="14"/>
        <v>11341.51674376847</v>
      </c>
      <c r="AE15" s="159">
        <f t="shared" si="0"/>
        <v>14030.134676122763</v>
      </c>
      <c r="AF15" s="159">
        <f t="shared" si="1"/>
        <v>16468.88423763862</v>
      </c>
      <c r="AG15" s="159">
        <f t="shared" si="2"/>
        <v>17497.094336552578</v>
      </c>
      <c r="AH15" s="159">
        <f t="shared" si="3"/>
        <v>18785.426674757866</v>
      </c>
      <c r="AI15" s="159">
        <f t="shared" si="4"/>
        <v>20212.776481566088</v>
      </c>
      <c r="AJ15" s="159">
        <f t="shared" si="5"/>
        <v>22404.850492763071</v>
      </c>
      <c r="AK15" s="159">
        <f t="shared" si="6"/>
        <v>25175.179319688817</v>
      </c>
      <c r="AL15" s="159">
        <f t="shared" si="7"/>
        <v>28761.671738811532</v>
      </c>
      <c r="AM15" s="159">
        <f t="shared" si="8"/>
        <v>32176.172346708609</v>
      </c>
      <c r="AN15" s="159">
        <f t="shared" si="9"/>
        <v>34862.782319751248</v>
      </c>
      <c r="AO15" s="159">
        <f t="shared" si="10"/>
        <v>39098.061244644785</v>
      </c>
      <c r="AP15" s="159">
        <f t="shared" si="11"/>
        <v>43264.906802067613</v>
      </c>
    </row>
    <row r="16" spans="1:42">
      <c r="B16" s="106" t="s">
        <v>49</v>
      </c>
      <c r="C16" s="105" t="s">
        <v>3</v>
      </c>
      <c r="D16" s="165">
        <v>4348.2144276900008</v>
      </c>
      <c r="E16" s="165">
        <v>6618.751593</v>
      </c>
      <c r="F16" s="165">
        <v>9580.4080560000002</v>
      </c>
      <c r="G16" s="165">
        <v>11947.157497</v>
      </c>
      <c r="H16" s="165">
        <v>11602.425930939999</v>
      </c>
      <c r="I16" s="165">
        <v>12728.570828100001</v>
      </c>
      <c r="J16" s="165">
        <v>11817.6425299</v>
      </c>
      <c r="K16" s="165">
        <v>11715.202366059999</v>
      </c>
      <c r="L16" s="165">
        <v>12326.45428543</v>
      </c>
      <c r="M16" s="165">
        <v>14573.7358293</v>
      </c>
      <c r="N16" s="165">
        <v>15843.685392809999</v>
      </c>
      <c r="O16" s="165">
        <v>17944.610415990002</v>
      </c>
      <c r="P16" s="166">
        <v>19766.156218299999</v>
      </c>
      <c r="Q16" s="157">
        <v>296.82132264000001</v>
      </c>
      <c r="R16" s="157">
        <v>403.84983699999998</v>
      </c>
      <c r="S16" s="157">
        <v>516.15511600000002</v>
      </c>
      <c r="T16" s="157">
        <v>601.69273299999998</v>
      </c>
      <c r="U16" s="157">
        <v>560.47670937999999</v>
      </c>
      <c r="V16" s="157">
        <v>624.57846720999999</v>
      </c>
      <c r="W16" s="157">
        <v>644.35999682999989</v>
      </c>
      <c r="X16" s="157">
        <v>726.46044003999998</v>
      </c>
      <c r="Y16" s="157">
        <v>834.97496111999999</v>
      </c>
      <c r="Z16" s="157">
        <v>1011.6282594</v>
      </c>
      <c r="AA16" s="158">
        <v>1233.7702783599998</v>
      </c>
      <c r="AB16" s="158">
        <v>1474.32637643</v>
      </c>
      <c r="AC16" s="158">
        <v>1725.4359914199999</v>
      </c>
      <c r="AD16" s="159">
        <f t="shared" si="14"/>
        <v>4645.0357503300011</v>
      </c>
      <c r="AE16" s="159">
        <f t="shared" si="0"/>
        <v>7022.6014299999997</v>
      </c>
      <c r="AF16" s="159">
        <f t="shared" si="1"/>
        <v>10096.563172</v>
      </c>
      <c r="AG16" s="159">
        <f t="shared" si="2"/>
        <v>12548.85023</v>
      </c>
      <c r="AH16" s="159">
        <f t="shared" si="3"/>
        <v>12162.902640319999</v>
      </c>
      <c r="AI16" s="159">
        <f t="shared" si="4"/>
        <v>13353.149295310001</v>
      </c>
      <c r="AJ16" s="159">
        <f t="shared" si="5"/>
        <v>12462.002526730001</v>
      </c>
      <c r="AK16" s="159">
        <f t="shared" si="6"/>
        <v>12441.662806099999</v>
      </c>
      <c r="AL16" s="159">
        <f t="shared" si="7"/>
        <v>13161.42924655</v>
      </c>
      <c r="AM16" s="159">
        <f t="shared" si="8"/>
        <v>15585.3640887</v>
      </c>
      <c r="AN16" s="159">
        <f t="shared" si="9"/>
        <v>17077.455671169999</v>
      </c>
      <c r="AO16" s="159">
        <f t="shared" si="10"/>
        <v>19418.936792420001</v>
      </c>
      <c r="AP16" s="159">
        <f t="shared" si="11"/>
        <v>21491.592209719998</v>
      </c>
    </row>
    <row r="17" spans="1:42">
      <c r="B17" s="106"/>
      <c r="C17" s="37" t="s">
        <v>22</v>
      </c>
      <c r="D17" s="165">
        <f>D$16*D39</f>
        <v>371.58367145057224</v>
      </c>
      <c r="E17" s="165">
        <f t="shared" ref="E17:AC17" si="22">E$16*E39</f>
        <v>490.07848390897004</v>
      </c>
      <c r="F17" s="165">
        <f t="shared" si="22"/>
        <v>825.84352514902321</v>
      </c>
      <c r="G17" s="165">
        <f t="shared" si="22"/>
        <v>1198.1160043985174</v>
      </c>
      <c r="H17" s="165">
        <f t="shared" si="22"/>
        <v>1453.8837833284788</v>
      </c>
      <c r="I17" s="165">
        <f t="shared" si="22"/>
        <v>1728.7363617038484</v>
      </c>
      <c r="J17" s="165">
        <f t="shared" si="22"/>
        <v>1721.3915306471711</v>
      </c>
      <c r="K17" s="165">
        <f t="shared" si="22"/>
        <v>1992.6219104405718</v>
      </c>
      <c r="L17" s="165">
        <f t="shared" si="22"/>
        <v>2191.230774414149</v>
      </c>
      <c r="M17" s="165">
        <f t="shared" si="22"/>
        <v>2617.6801977228115</v>
      </c>
      <c r="N17" s="165">
        <f t="shared" si="22"/>
        <v>3540.7496442349138</v>
      </c>
      <c r="O17" s="165">
        <f t="shared" si="22"/>
        <v>4117.725999832337</v>
      </c>
      <c r="P17" s="166">
        <f t="shared" si="22"/>
        <v>4632.6999815838326</v>
      </c>
      <c r="Q17" s="157">
        <f t="shared" si="22"/>
        <v>235.7636700952477</v>
      </c>
      <c r="R17" s="157">
        <f t="shared" si="22"/>
        <v>341.51538213734511</v>
      </c>
      <c r="S17" s="157">
        <f t="shared" si="22"/>
        <v>451.87394098882862</v>
      </c>
      <c r="T17" s="157">
        <f t="shared" si="22"/>
        <v>554.08545892685754</v>
      </c>
      <c r="U17" s="157">
        <f t="shared" si="22"/>
        <v>535.82212204681252</v>
      </c>
      <c r="V17" s="157">
        <f t="shared" si="22"/>
        <v>607.41639840843914</v>
      </c>
      <c r="W17" s="157">
        <f t="shared" si="22"/>
        <v>634.59672123364112</v>
      </c>
      <c r="X17" s="157">
        <f t="shared" si="22"/>
        <v>719.28954637171978</v>
      </c>
      <c r="Y17" s="157">
        <f t="shared" si="22"/>
        <v>828.94610227230692</v>
      </c>
      <c r="Z17" s="157">
        <f t="shared" si="22"/>
        <v>1005.3101747501089</v>
      </c>
      <c r="AA17" s="158">
        <f t="shared" si="22"/>
        <v>1228.1954606249883</v>
      </c>
      <c r="AB17" s="158">
        <f t="shared" si="22"/>
        <v>1468.6028576940791</v>
      </c>
      <c r="AC17" s="158">
        <f t="shared" si="22"/>
        <v>1719.8466278160899</v>
      </c>
      <c r="AD17" s="159">
        <f t="shared" si="14"/>
        <v>607.34734154581997</v>
      </c>
      <c r="AE17" s="159">
        <f t="shared" si="0"/>
        <v>831.59386604631516</v>
      </c>
      <c r="AF17" s="159">
        <f t="shared" si="1"/>
        <v>1277.7174661378517</v>
      </c>
      <c r="AG17" s="159">
        <f t="shared" si="2"/>
        <v>1752.2014633253748</v>
      </c>
      <c r="AH17" s="159">
        <f t="shared" si="3"/>
        <v>1989.7059053752914</v>
      </c>
      <c r="AI17" s="159">
        <f t="shared" si="4"/>
        <v>2336.1527601122875</v>
      </c>
      <c r="AJ17" s="159">
        <f t="shared" si="5"/>
        <v>2355.9882518808122</v>
      </c>
      <c r="AK17" s="159">
        <f t="shared" si="6"/>
        <v>2711.9114568122914</v>
      </c>
      <c r="AL17" s="159">
        <f t="shared" si="7"/>
        <v>3020.1768766864561</v>
      </c>
      <c r="AM17" s="159">
        <f t="shared" si="8"/>
        <v>3622.9903724729202</v>
      </c>
      <c r="AN17" s="159">
        <f t="shared" si="9"/>
        <v>4768.9451048599021</v>
      </c>
      <c r="AO17" s="159">
        <f t="shared" si="10"/>
        <v>5586.328857526416</v>
      </c>
      <c r="AP17" s="159">
        <f t="shared" si="11"/>
        <v>6352.5466093999221</v>
      </c>
    </row>
    <row r="18" spans="1:42">
      <c r="B18" s="106"/>
      <c r="C18" s="37" t="s">
        <v>40</v>
      </c>
      <c r="D18" s="165">
        <f t="shared" ref="D18:AC18" si="23">D$16*D40</f>
        <v>3976.6307562394286</v>
      </c>
      <c r="E18" s="165">
        <f t="shared" si="23"/>
        <v>6128.6731090910298</v>
      </c>
      <c r="F18" s="165">
        <f t="shared" si="23"/>
        <v>8754.5645308509775</v>
      </c>
      <c r="G18" s="165">
        <f t="shared" si="23"/>
        <v>10749.041492601482</v>
      </c>
      <c r="H18" s="165">
        <f t="shared" si="23"/>
        <v>10148.542147611521</v>
      </c>
      <c r="I18" s="165">
        <f t="shared" si="23"/>
        <v>10999.834466396152</v>
      </c>
      <c r="J18" s="165">
        <f t="shared" si="23"/>
        <v>10096.250999252828</v>
      </c>
      <c r="K18" s="165">
        <f t="shared" si="23"/>
        <v>9722.5804556194271</v>
      </c>
      <c r="L18" s="165">
        <f t="shared" si="23"/>
        <v>10135.223511015851</v>
      </c>
      <c r="M18" s="165">
        <f t="shared" si="23"/>
        <v>11956.055631577188</v>
      </c>
      <c r="N18" s="165">
        <f t="shared" si="23"/>
        <v>12302.935748575086</v>
      </c>
      <c r="O18" s="165">
        <f t="shared" si="23"/>
        <v>13826.884416157665</v>
      </c>
      <c r="P18" s="166">
        <f t="shared" si="23"/>
        <v>15133.456236716165</v>
      </c>
      <c r="Q18" s="157">
        <f t="shared" si="23"/>
        <v>61.057652544752294</v>
      </c>
      <c r="R18" s="157">
        <f t="shared" si="23"/>
        <v>62.334454862654852</v>
      </c>
      <c r="S18" s="157">
        <f t="shared" si="23"/>
        <v>64.281175011171371</v>
      </c>
      <c r="T18" s="157">
        <f t="shared" si="23"/>
        <v>47.607274073142442</v>
      </c>
      <c r="U18" s="157">
        <f t="shared" si="23"/>
        <v>24.654587333187465</v>
      </c>
      <c r="V18" s="157">
        <f t="shared" si="23"/>
        <v>17.162068801560856</v>
      </c>
      <c r="W18" s="157">
        <f t="shared" si="23"/>
        <v>9.7632755963588167</v>
      </c>
      <c r="X18" s="157">
        <f t="shared" si="23"/>
        <v>7.1708936682801845</v>
      </c>
      <c r="Y18" s="157">
        <f t="shared" si="23"/>
        <v>6.0288588476931038</v>
      </c>
      <c r="Z18" s="157">
        <f t="shared" si="23"/>
        <v>6.3180846498911425</v>
      </c>
      <c r="AA18" s="158">
        <f t="shared" si="23"/>
        <v>5.5748177350115817</v>
      </c>
      <c r="AB18" s="158">
        <f t="shared" si="23"/>
        <v>5.723518735920738</v>
      </c>
      <c r="AC18" s="158">
        <f t="shared" si="23"/>
        <v>5.5893636039099963</v>
      </c>
      <c r="AD18" s="159">
        <f t="shared" si="14"/>
        <v>4037.6884087841809</v>
      </c>
      <c r="AE18" s="159">
        <f t="shared" si="0"/>
        <v>6191.0075639536844</v>
      </c>
      <c r="AF18" s="159">
        <f t="shared" si="1"/>
        <v>8818.845705862148</v>
      </c>
      <c r="AG18" s="159">
        <f t="shared" si="2"/>
        <v>10796.648766674625</v>
      </c>
      <c r="AH18" s="159">
        <f t="shared" si="3"/>
        <v>10173.196734944708</v>
      </c>
      <c r="AI18" s="159">
        <f t="shared" si="4"/>
        <v>11016.996535197713</v>
      </c>
      <c r="AJ18" s="159">
        <f t="shared" si="5"/>
        <v>10106.014274849187</v>
      </c>
      <c r="AK18" s="159">
        <f t="shared" si="6"/>
        <v>9729.7513492877079</v>
      </c>
      <c r="AL18" s="159">
        <f t="shared" si="7"/>
        <v>10141.252369863543</v>
      </c>
      <c r="AM18" s="159">
        <f t="shared" si="8"/>
        <v>11962.373716227079</v>
      </c>
      <c r="AN18" s="159">
        <f t="shared" si="9"/>
        <v>12308.510566310099</v>
      </c>
      <c r="AO18" s="159">
        <f t="shared" si="10"/>
        <v>13832.607934893585</v>
      </c>
      <c r="AP18" s="159">
        <f t="shared" si="11"/>
        <v>15139.045600320076</v>
      </c>
    </row>
    <row r="19" spans="1:42">
      <c r="B19" s="106" t="s">
        <v>50</v>
      </c>
      <c r="C19" s="105" t="s">
        <v>3</v>
      </c>
      <c r="D19" s="165">
        <v>676.04929052</v>
      </c>
      <c r="E19" s="165">
        <v>816.04373899999996</v>
      </c>
      <c r="F19" s="165">
        <v>925.95694200000003</v>
      </c>
      <c r="G19" s="165">
        <v>1029.727081</v>
      </c>
      <c r="H19" s="165">
        <v>1144.49688466</v>
      </c>
      <c r="I19" s="165">
        <v>1235.57017234</v>
      </c>
      <c r="J19" s="165">
        <v>1351.3759501700001</v>
      </c>
      <c r="K19" s="165">
        <v>1510.7722388099999</v>
      </c>
      <c r="L19" s="165">
        <v>1712.57374299</v>
      </c>
      <c r="M19" s="165">
        <v>1917.3822857499999</v>
      </c>
      <c r="N19" s="165">
        <v>2175.7240540299999</v>
      </c>
      <c r="O19" s="165">
        <v>2463.5093432100002</v>
      </c>
      <c r="P19" s="166">
        <v>2771.9915953499999</v>
      </c>
      <c r="Q19" s="157">
        <v>8.946111280000002</v>
      </c>
      <c r="R19" s="157">
        <v>11.784102000000001</v>
      </c>
      <c r="S19" s="157">
        <v>14.390297</v>
      </c>
      <c r="T19" s="157">
        <v>17.82217</v>
      </c>
      <c r="U19" s="157">
        <v>23.83332446</v>
      </c>
      <c r="V19" s="157">
        <v>28.952356990000002</v>
      </c>
      <c r="W19" s="157">
        <v>34.443221899999998</v>
      </c>
      <c r="X19" s="157">
        <v>41.87277332</v>
      </c>
      <c r="Y19" s="157">
        <v>50.023957659999994</v>
      </c>
      <c r="Z19" s="157">
        <v>57.841985639999997</v>
      </c>
      <c r="AA19" s="158">
        <v>70.448056309999998</v>
      </c>
      <c r="AB19" s="158">
        <v>82.144779439999994</v>
      </c>
      <c r="AC19" s="158">
        <v>93.419755639999991</v>
      </c>
      <c r="AD19" s="159">
        <f t="shared" si="14"/>
        <v>684.99540179999997</v>
      </c>
      <c r="AE19" s="159">
        <f t="shared" si="0"/>
        <v>827.82784099999992</v>
      </c>
      <c r="AF19" s="159">
        <f t="shared" si="1"/>
        <v>940.34723900000006</v>
      </c>
      <c r="AG19" s="159">
        <f t="shared" si="2"/>
        <v>1047.5492509999999</v>
      </c>
      <c r="AH19" s="159">
        <f t="shared" si="3"/>
        <v>1168.3302091200001</v>
      </c>
      <c r="AI19" s="159">
        <f t="shared" si="4"/>
        <v>1264.52252933</v>
      </c>
      <c r="AJ19" s="159">
        <f t="shared" si="5"/>
        <v>1385.8191720700001</v>
      </c>
      <c r="AK19" s="159">
        <f t="shared" si="6"/>
        <v>1552.6450121299999</v>
      </c>
      <c r="AL19" s="159">
        <f t="shared" si="7"/>
        <v>1762.59770065</v>
      </c>
      <c r="AM19" s="159">
        <f t="shared" si="8"/>
        <v>1975.22427139</v>
      </c>
      <c r="AN19" s="159">
        <f t="shared" si="9"/>
        <v>2246.17211034</v>
      </c>
      <c r="AO19" s="159">
        <f t="shared" si="10"/>
        <v>2545.6541226500003</v>
      </c>
      <c r="AP19" s="159">
        <f t="shared" si="11"/>
        <v>2865.4113509899998</v>
      </c>
    </row>
    <row r="20" spans="1:42">
      <c r="B20" s="106"/>
      <c r="C20" s="37" t="s">
        <v>22</v>
      </c>
      <c r="D20" s="165">
        <f>D$19*D41</f>
        <v>230.15060768413338</v>
      </c>
      <c r="E20" s="165">
        <f t="shared" ref="E20:AC20" si="24">E$19*E41</f>
        <v>268.25876939959045</v>
      </c>
      <c r="F20" s="165">
        <f t="shared" si="24"/>
        <v>305.73476294194774</v>
      </c>
      <c r="G20" s="165">
        <f t="shared" si="24"/>
        <v>362.55137227487631</v>
      </c>
      <c r="H20" s="165">
        <f t="shared" si="24"/>
        <v>443.4797694751789</v>
      </c>
      <c r="I20" s="165">
        <f t="shared" si="24"/>
        <v>491.57138418850292</v>
      </c>
      <c r="J20" s="165">
        <f t="shared" si="24"/>
        <v>548.11298860179545</v>
      </c>
      <c r="K20" s="165">
        <f t="shared" si="24"/>
        <v>634.45745177066749</v>
      </c>
      <c r="L20" s="165">
        <f t="shared" si="24"/>
        <v>720.80984159678985</v>
      </c>
      <c r="M20" s="165">
        <f t="shared" si="24"/>
        <v>795.90729695815935</v>
      </c>
      <c r="N20" s="165">
        <f t="shared" si="24"/>
        <v>974.82249621812309</v>
      </c>
      <c r="O20" s="165">
        <f t="shared" si="24"/>
        <v>1113.512003827793</v>
      </c>
      <c r="P20" s="166">
        <f t="shared" si="24"/>
        <v>1269.6293377337918</v>
      </c>
      <c r="Q20" s="157">
        <f t="shared" si="24"/>
        <v>7.7034456274285619</v>
      </c>
      <c r="R20" s="157">
        <f t="shared" si="24"/>
        <v>10.208739948965881</v>
      </c>
      <c r="S20" s="157">
        <f t="shared" si="24"/>
        <v>12.679625897464469</v>
      </c>
      <c r="T20" s="157">
        <f t="shared" si="24"/>
        <v>16.17018377764148</v>
      </c>
      <c r="U20" s="157">
        <f t="shared" si="24"/>
        <v>22.428567487003566</v>
      </c>
      <c r="V20" s="157">
        <f t="shared" si="24"/>
        <v>27.644119779653572</v>
      </c>
      <c r="W20" s="157">
        <f t="shared" si="24"/>
        <v>33.181909990511656</v>
      </c>
      <c r="X20" s="157">
        <f t="shared" si="24"/>
        <v>40.695954629688359</v>
      </c>
      <c r="Y20" s="157">
        <f t="shared" si="24"/>
        <v>48.76725754047925</v>
      </c>
      <c r="Z20" s="157">
        <f t="shared" si="24"/>
        <v>56.509110674357501</v>
      </c>
      <c r="AA20" s="158">
        <f t="shared" si="24"/>
        <v>69.113597746659806</v>
      </c>
      <c r="AB20" s="158">
        <f t="shared" si="24"/>
        <v>80.745554027340987</v>
      </c>
      <c r="AC20" s="158">
        <f t="shared" si="24"/>
        <v>91.954839132228187</v>
      </c>
      <c r="AD20" s="159">
        <f t="shared" si="14"/>
        <v>237.85405331156193</v>
      </c>
      <c r="AE20" s="159">
        <f t="shared" si="0"/>
        <v>278.46750934855635</v>
      </c>
      <c r="AF20" s="159">
        <f t="shared" si="1"/>
        <v>318.4143888394122</v>
      </c>
      <c r="AG20" s="159">
        <f t="shared" si="2"/>
        <v>378.72155605251777</v>
      </c>
      <c r="AH20" s="159">
        <f t="shared" si="3"/>
        <v>465.90833696218249</v>
      </c>
      <c r="AI20" s="159">
        <f t="shared" si="4"/>
        <v>519.21550396815644</v>
      </c>
      <c r="AJ20" s="159">
        <f t="shared" si="5"/>
        <v>581.29489859230716</v>
      </c>
      <c r="AK20" s="159">
        <f t="shared" si="6"/>
        <v>675.15340640035583</v>
      </c>
      <c r="AL20" s="159">
        <f t="shared" si="7"/>
        <v>769.5770991372691</v>
      </c>
      <c r="AM20" s="159">
        <f t="shared" si="8"/>
        <v>852.41640763251689</v>
      </c>
      <c r="AN20" s="159">
        <f t="shared" si="9"/>
        <v>1043.9360939647829</v>
      </c>
      <c r="AO20" s="159">
        <f t="shared" si="10"/>
        <v>1194.2575578551341</v>
      </c>
      <c r="AP20" s="159">
        <f t="shared" si="11"/>
        <v>1361.58417686602</v>
      </c>
    </row>
    <row r="21" spans="1:42">
      <c r="B21" s="106"/>
      <c r="C21" s="37" t="s">
        <v>40</v>
      </c>
      <c r="D21" s="165">
        <f t="shared" ref="D21:AC21" si="25">D$19*D42</f>
        <v>445.89868283586662</v>
      </c>
      <c r="E21" s="165">
        <f t="shared" si="25"/>
        <v>547.78496960040957</v>
      </c>
      <c r="F21" s="165">
        <f t="shared" si="25"/>
        <v>620.22217905805235</v>
      </c>
      <c r="G21" s="165">
        <f t="shared" si="25"/>
        <v>667.17570872512374</v>
      </c>
      <c r="H21" s="165">
        <f t="shared" si="25"/>
        <v>701.01711518482102</v>
      </c>
      <c r="I21" s="165">
        <f t="shared" si="25"/>
        <v>743.99878815149714</v>
      </c>
      <c r="J21" s="165">
        <f t="shared" si="25"/>
        <v>803.26296156820467</v>
      </c>
      <c r="K21" s="165">
        <f t="shared" si="25"/>
        <v>876.31478703933237</v>
      </c>
      <c r="L21" s="165">
        <f t="shared" si="25"/>
        <v>991.76390139321018</v>
      </c>
      <c r="M21" s="165">
        <f t="shared" si="25"/>
        <v>1121.4749887918406</v>
      </c>
      <c r="N21" s="165">
        <f t="shared" si="25"/>
        <v>1200.901557811877</v>
      </c>
      <c r="O21" s="165">
        <f t="shared" si="25"/>
        <v>1349.997339382207</v>
      </c>
      <c r="P21" s="166">
        <f t="shared" si="25"/>
        <v>1502.3622576162081</v>
      </c>
      <c r="Q21" s="157">
        <f t="shared" si="25"/>
        <v>1.2426656525714406</v>
      </c>
      <c r="R21" s="157">
        <f t="shared" si="25"/>
        <v>1.5753620510341189</v>
      </c>
      <c r="S21" s="157">
        <f t="shared" si="25"/>
        <v>1.7106711025355312</v>
      </c>
      <c r="T21" s="157">
        <f t="shared" si="25"/>
        <v>1.6519862223585198</v>
      </c>
      <c r="U21" s="157">
        <f t="shared" si="25"/>
        <v>1.4047569729964351</v>
      </c>
      <c r="V21" s="157">
        <f t="shared" si="25"/>
        <v>1.3082372103464308</v>
      </c>
      <c r="W21" s="157">
        <f t="shared" si="25"/>
        <v>1.2613119094883396</v>
      </c>
      <c r="X21" s="157">
        <f t="shared" si="25"/>
        <v>1.1768186903116415</v>
      </c>
      <c r="Y21" s="157">
        <f t="shared" si="25"/>
        <v>1.2567001195207408</v>
      </c>
      <c r="Z21" s="157">
        <f t="shared" si="25"/>
        <v>1.3328749656424985</v>
      </c>
      <c r="AA21" s="158">
        <f t="shared" si="25"/>
        <v>1.3344585633401898</v>
      </c>
      <c r="AB21" s="158">
        <f t="shared" si="25"/>
        <v>1.399225412659008</v>
      </c>
      <c r="AC21" s="158">
        <f t="shared" si="25"/>
        <v>1.4649165077718032</v>
      </c>
      <c r="AD21" s="159">
        <f t="shared" si="14"/>
        <v>447.14134848843804</v>
      </c>
      <c r="AE21" s="159">
        <f t="shared" si="0"/>
        <v>549.36033165144363</v>
      </c>
      <c r="AF21" s="159">
        <f t="shared" si="1"/>
        <v>621.93285016058792</v>
      </c>
      <c r="AG21" s="159">
        <f t="shared" si="2"/>
        <v>668.82769494748231</v>
      </c>
      <c r="AH21" s="159">
        <f t="shared" si="3"/>
        <v>702.42187215781746</v>
      </c>
      <c r="AI21" s="159">
        <f t="shared" si="4"/>
        <v>745.30702536184356</v>
      </c>
      <c r="AJ21" s="159">
        <f t="shared" si="5"/>
        <v>804.52427347769299</v>
      </c>
      <c r="AK21" s="159">
        <f t="shared" si="6"/>
        <v>877.49160572964399</v>
      </c>
      <c r="AL21" s="159">
        <f t="shared" si="7"/>
        <v>993.02060151273088</v>
      </c>
      <c r="AM21" s="159">
        <f t="shared" si="8"/>
        <v>1122.8078637574831</v>
      </c>
      <c r="AN21" s="159">
        <f t="shared" si="9"/>
        <v>1202.2360163752171</v>
      </c>
      <c r="AO21" s="159">
        <f t="shared" si="10"/>
        <v>1351.396564794866</v>
      </c>
      <c r="AP21" s="159">
        <f t="shared" si="11"/>
        <v>1503.8271741239798</v>
      </c>
    </row>
    <row r="22" spans="1:42" ht="17.25" customHeight="1">
      <c r="B22" s="106" t="s">
        <v>25</v>
      </c>
      <c r="C22" s="105" t="s">
        <v>3</v>
      </c>
      <c r="D22" s="165">
        <v>709.51661219000016</v>
      </c>
      <c r="E22" s="165">
        <v>693.12618299999997</v>
      </c>
      <c r="F22" s="165">
        <v>256.65772099999998</v>
      </c>
      <c r="G22" s="165">
        <v>295.79556000000002</v>
      </c>
      <c r="H22" s="165">
        <v>326.71569008999995</v>
      </c>
      <c r="I22" s="165">
        <v>362.29389470999996</v>
      </c>
      <c r="J22" s="165">
        <v>437.93107857000007</v>
      </c>
      <c r="K22" s="165">
        <v>557.90905880999992</v>
      </c>
      <c r="L22" s="165">
        <v>673.6035594299999</v>
      </c>
      <c r="M22" s="165">
        <v>785.76136292000012</v>
      </c>
      <c r="N22" s="165">
        <v>931.27091661000009</v>
      </c>
      <c r="O22" s="165">
        <v>1086.1337542799999</v>
      </c>
      <c r="P22" s="166">
        <v>1161.8481919400001</v>
      </c>
      <c r="Q22" s="157">
        <v>51.546309549999997</v>
      </c>
      <c r="R22" s="157">
        <v>58.680439</v>
      </c>
      <c r="S22" s="157">
        <v>56.434801999999998</v>
      </c>
      <c r="T22" s="157">
        <v>56.327435000000001</v>
      </c>
      <c r="U22" s="157">
        <v>66.229189300000002</v>
      </c>
      <c r="V22" s="157">
        <v>68.603806059999997</v>
      </c>
      <c r="W22" s="157">
        <v>77.059088650000007</v>
      </c>
      <c r="X22" s="157">
        <v>101.86535212000001</v>
      </c>
      <c r="Y22" s="157">
        <v>109.14623028</v>
      </c>
      <c r="Z22" s="157">
        <v>111.52417724999999</v>
      </c>
      <c r="AA22" s="158">
        <v>114.25590022000002</v>
      </c>
      <c r="AB22" s="158">
        <v>128.76256581999999</v>
      </c>
      <c r="AC22" s="158">
        <v>131.17219668999999</v>
      </c>
      <c r="AD22" s="159">
        <f t="shared" si="14"/>
        <v>761.06292174000021</v>
      </c>
      <c r="AE22" s="159">
        <f t="shared" si="0"/>
        <v>751.80662199999995</v>
      </c>
      <c r="AF22" s="159">
        <f t="shared" si="1"/>
        <v>313.09252299999997</v>
      </c>
      <c r="AG22" s="159">
        <f t="shared" si="2"/>
        <v>352.122995</v>
      </c>
      <c r="AH22" s="159">
        <f t="shared" si="3"/>
        <v>392.94487938999998</v>
      </c>
      <c r="AI22" s="159">
        <f t="shared" si="4"/>
        <v>430.89770076999997</v>
      </c>
      <c r="AJ22" s="159">
        <f t="shared" si="5"/>
        <v>514.9901672200001</v>
      </c>
      <c r="AK22" s="159">
        <f t="shared" si="6"/>
        <v>659.77441092999993</v>
      </c>
      <c r="AL22" s="159">
        <f t="shared" si="7"/>
        <v>782.74978970999996</v>
      </c>
      <c r="AM22" s="159">
        <f t="shared" si="8"/>
        <v>897.2855401700001</v>
      </c>
      <c r="AN22" s="159">
        <f t="shared" si="9"/>
        <v>1045.5268168300001</v>
      </c>
      <c r="AO22" s="159">
        <f t="shared" si="10"/>
        <v>1214.8963200999999</v>
      </c>
      <c r="AP22" s="159">
        <f t="shared" si="11"/>
        <v>1293.0203886300001</v>
      </c>
    </row>
    <row r="23" spans="1:42" ht="17.25" customHeight="1">
      <c r="B23" s="106"/>
      <c r="C23" s="37" t="s">
        <v>22</v>
      </c>
      <c r="D23" s="165">
        <f>D$22*D43</f>
        <v>108.00053638174464</v>
      </c>
      <c r="E23" s="165">
        <f t="shared" ref="E23:AC23" si="26">E$22*E43</f>
        <v>272.10212048035754</v>
      </c>
      <c r="F23" s="165">
        <f t="shared" si="26"/>
        <v>128.55984094846241</v>
      </c>
      <c r="G23" s="165">
        <f t="shared" si="26"/>
        <v>154.13053970107836</v>
      </c>
      <c r="H23" s="165">
        <f t="shared" si="26"/>
        <v>181.74817391778222</v>
      </c>
      <c r="I23" s="165">
        <f t="shared" si="26"/>
        <v>192.77831630320981</v>
      </c>
      <c r="J23" s="165">
        <f t="shared" si="26"/>
        <v>228.18150156485004</v>
      </c>
      <c r="K23" s="165">
        <f t="shared" si="26"/>
        <v>294.64153077012162</v>
      </c>
      <c r="L23" s="165">
        <f t="shared" si="26"/>
        <v>348.86043980086856</v>
      </c>
      <c r="M23" s="165">
        <f t="shared" si="26"/>
        <v>358.86482511689508</v>
      </c>
      <c r="N23" s="165">
        <f t="shared" si="26"/>
        <v>489.14276263322569</v>
      </c>
      <c r="O23" s="165">
        <f t="shared" si="26"/>
        <v>672.35110416519478</v>
      </c>
      <c r="P23" s="166">
        <f t="shared" si="26"/>
        <v>719.2207328470638</v>
      </c>
      <c r="Q23" s="157">
        <f t="shared" si="26"/>
        <v>49.599076235150903</v>
      </c>
      <c r="R23" s="157">
        <f t="shared" si="26"/>
        <v>56.956318865196884</v>
      </c>
      <c r="S23" s="157">
        <f t="shared" si="26"/>
        <v>54.656713660377527</v>
      </c>
      <c r="T23" s="157">
        <f t="shared" si="26"/>
        <v>54.256729683449358</v>
      </c>
      <c r="U23" s="157">
        <f t="shared" si="26"/>
        <v>64.249080031735275</v>
      </c>
      <c r="V23" s="157">
        <f t="shared" si="26"/>
        <v>66.439901965806229</v>
      </c>
      <c r="W23" s="157">
        <f t="shared" si="26"/>
        <v>75.143040786587505</v>
      </c>
      <c r="X23" s="157">
        <f t="shared" si="26"/>
        <v>99.600747583858265</v>
      </c>
      <c r="Y23" s="157">
        <f t="shared" si="26"/>
        <v>106.41140725570419</v>
      </c>
      <c r="Z23" s="157">
        <f t="shared" si="26"/>
        <v>108.53942819776078</v>
      </c>
      <c r="AA23" s="158">
        <f t="shared" si="26"/>
        <v>111.98899662623926</v>
      </c>
      <c r="AB23" s="158">
        <f t="shared" si="26"/>
        <v>126.68771359728946</v>
      </c>
      <c r="AC23" s="158">
        <f t="shared" si="26"/>
        <v>129.05851619499859</v>
      </c>
      <c r="AD23" s="159">
        <f t="shared" si="14"/>
        <v>157.59961261689554</v>
      </c>
      <c r="AE23" s="159">
        <f t="shared" si="0"/>
        <v>329.0584393455544</v>
      </c>
      <c r="AF23" s="159">
        <f t="shared" si="1"/>
        <v>183.21655460883994</v>
      </c>
      <c r="AG23" s="159">
        <f t="shared" si="2"/>
        <v>208.38726938452771</v>
      </c>
      <c r="AH23" s="159">
        <f t="shared" si="3"/>
        <v>245.9972539495175</v>
      </c>
      <c r="AI23" s="159">
        <f t="shared" si="4"/>
        <v>259.21821826901601</v>
      </c>
      <c r="AJ23" s="159">
        <f t="shared" si="5"/>
        <v>303.32454235143757</v>
      </c>
      <c r="AK23" s="159">
        <f t="shared" si="6"/>
        <v>394.24227835397988</v>
      </c>
      <c r="AL23" s="159">
        <f t="shared" si="7"/>
        <v>455.27184705657277</v>
      </c>
      <c r="AM23" s="159">
        <f t="shared" si="8"/>
        <v>467.40425331465588</v>
      </c>
      <c r="AN23" s="159">
        <f t="shared" si="9"/>
        <v>601.13175925946496</v>
      </c>
      <c r="AO23" s="159">
        <f t="shared" si="10"/>
        <v>799.0388177624842</v>
      </c>
      <c r="AP23" s="159">
        <f t="shared" si="11"/>
        <v>848.27924904206236</v>
      </c>
    </row>
    <row r="24" spans="1:42" ht="17.25" customHeight="1">
      <c r="B24" s="106"/>
      <c r="C24" s="37" t="s">
        <v>40</v>
      </c>
      <c r="D24" s="165">
        <f t="shared" ref="D24:AC24" si="27">D$22*D44</f>
        <v>601.51607580825555</v>
      </c>
      <c r="E24" s="165">
        <f t="shared" si="27"/>
        <v>421.02406251964243</v>
      </c>
      <c r="F24" s="165">
        <f t="shared" si="27"/>
        <v>128.09788005153757</v>
      </c>
      <c r="G24" s="165">
        <f t="shared" si="27"/>
        <v>141.66502029892166</v>
      </c>
      <c r="H24" s="165">
        <f t="shared" si="27"/>
        <v>144.96751617221773</v>
      </c>
      <c r="I24" s="165">
        <f t="shared" si="27"/>
        <v>169.51557840679015</v>
      </c>
      <c r="J24" s="165">
        <f t="shared" si="27"/>
        <v>209.74957700515003</v>
      </c>
      <c r="K24" s="165">
        <f t="shared" si="27"/>
        <v>263.2675280398783</v>
      </c>
      <c r="L24" s="165">
        <f t="shared" si="27"/>
        <v>324.74311962913134</v>
      </c>
      <c r="M24" s="165">
        <f t="shared" si="27"/>
        <v>426.89653780310505</v>
      </c>
      <c r="N24" s="165">
        <f t="shared" si="27"/>
        <v>442.1281539767744</v>
      </c>
      <c r="O24" s="165">
        <f t="shared" si="27"/>
        <v>413.78265011480516</v>
      </c>
      <c r="P24" s="166">
        <f t="shared" si="27"/>
        <v>442.62745909293631</v>
      </c>
      <c r="Q24" s="157">
        <f t="shared" si="27"/>
        <v>1.9472333148490912</v>
      </c>
      <c r="R24" s="157">
        <f t="shared" si="27"/>
        <v>1.724120134803115</v>
      </c>
      <c r="S24" s="157">
        <f t="shared" si="27"/>
        <v>1.7780883396224685</v>
      </c>
      <c r="T24" s="157">
        <f t="shared" si="27"/>
        <v>2.0707053165506455</v>
      </c>
      <c r="U24" s="157">
        <f t="shared" si="27"/>
        <v>1.9801092682647237</v>
      </c>
      <c r="V24" s="157">
        <f t="shared" si="27"/>
        <v>2.1639040941937684</v>
      </c>
      <c r="W24" s="157">
        <f t="shared" si="27"/>
        <v>1.9160478634124942</v>
      </c>
      <c r="X24" s="157">
        <f t="shared" si="27"/>
        <v>2.2646045361417451</v>
      </c>
      <c r="Y24" s="157">
        <f t="shared" si="27"/>
        <v>2.7348230242958089</v>
      </c>
      <c r="Z24" s="157">
        <f t="shared" si="27"/>
        <v>2.9847490522392111</v>
      </c>
      <c r="AA24" s="158">
        <f t="shared" si="27"/>
        <v>2.2669035937607567</v>
      </c>
      <c r="AB24" s="158">
        <f t="shared" si="27"/>
        <v>2.0748522227105348</v>
      </c>
      <c r="AC24" s="158">
        <f t="shared" si="27"/>
        <v>2.1136804950014012</v>
      </c>
      <c r="AD24" s="159">
        <f t="shared" si="14"/>
        <v>603.46330912310464</v>
      </c>
      <c r="AE24" s="159">
        <f t="shared" si="0"/>
        <v>422.74818265444554</v>
      </c>
      <c r="AF24" s="159">
        <f t="shared" si="1"/>
        <v>129.87596839116003</v>
      </c>
      <c r="AG24" s="159">
        <f t="shared" si="2"/>
        <v>143.73572561547232</v>
      </c>
      <c r="AH24" s="159">
        <f t="shared" si="3"/>
        <v>146.94762544048245</v>
      </c>
      <c r="AI24" s="159">
        <f t="shared" si="4"/>
        <v>171.67948250098394</v>
      </c>
      <c r="AJ24" s="159">
        <f t="shared" si="5"/>
        <v>211.66562486856253</v>
      </c>
      <c r="AK24" s="159">
        <f t="shared" si="6"/>
        <v>265.53213257602005</v>
      </c>
      <c r="AL24" s="159">
        <f t="shared" si="7"/>
        <v>327.47794265342714</v>
      </c>
      <c r="AM24" s="159">
        <f t="shared" si="8"/>
        <v>429.88128685534429</v>
      </c>
      <c r="AN24" s="159">
        <f t="shared" si="9"/>
        <v>444.39505757053513</v>
      </c>
      <c r="AO24" s="159">
        <f t="shared" si="10"/>
        <v>415.85750233751571</v>
      </c>
      <c r="AP24" s="159">
        <f t="shared" si="11"/>
        <v>444.74113958793771</v>
      </c>
    </row>
    <row r="25" spans="1:42" ht="17.25" customHeight="1">
      <c r="B25" s="106" t="s">
        <v>37</v>
      </c>
      <c r="C25" s="105" t="s">
        <v>3</v>
      </c>
      <c r="D25" s="165">
        <v>67163.320951829999</v>
      </c>
      <c r="E25" s="165">
        <v>82223.875104999999</v>
      </c>
      <c r="F25" s="165">
        <v>96327.765528999997</v>
      </c>
      <c r="G25" s="165">
        <v>107079.472442</v>
      </c>
      <c r="H25" s="165">
        <v>116409.76158444</v>
      </c>
      <c r="I25" s="165">
        <v>125831.17383875998</v>
      </c>
      <c r="J25" s="165">
        <v>137628.29298732002</v>
      </c>
      <c r="K25" s="165">
        <v>155232.01029293003</v>
      </c>
      <c r="L25" s="165">
        <v>174126.29290812998</v>
      </c>
      <c r="M25" s="165">
        <v>193252.00339194003</v>
      </c>
      <c r="N25" s="165">
        <v>216342.97660896002</v>
      </c>
      <c r="O25" s="165">
        <v>241696.38198458002</v>
      </c>
      <c r="P25" s="165">
        <v>266597.65878931998</v>
      </c>
      <c r="Q25" s="157">
        <v>16510.715063079999</v>
      </c>
      <c r="R25" s="157">
        <v>20136.863648999999</v>
      </c>
      <c r="S25" s="157">
        <v>22729.750370000002</v>
      </c>
      <c r="T25" s="157">
        <v>25918.167396000001</v>
      </c>
      <c r="U25" s="157">
        <v>30115.645629179999</v>
      </c>
      <c r="V25" s="157">
        <v>33387.021156640003</v>
      </c>
      <c r="W25" s="157">
        <v>37440.322107109998</v>
      </c>
      <c r="X25" s="157">
        <v>43814.908629750003</v>
      </c>
      <c r="Y25" s="157">
        <v>49303.456413589993</v>
      </c>
      <c r="Z25" s="157">
        <v>53550.862045270005</v>
      </c>
      <c r="AA25" s="158">
        <v>62435.007069370004</v>
      </c>
      <c r="AB25" s="158">
        <v>69866.249787020002</v>
      </c>
      <c r="AC25" s="158">
        <v>76691.816273250006</v>
      </c>
      <c r="AD25" s="159">
        <f t="shared" si="14"/>
        <v>83674.036014910002</v>
      </c>
      <c r="AE25" s="159">
        <f t="shared" si="0"/>
        <v>102360.73875399999</v>
      </c>
      <c r="AF25" s="159">
        <f t="shared" si="1"/>
        <v>119057.51589899999</v>
      </c>
      <c r="AG25" s="159">
        <f t="shared" si="2"/>
        <v>132997.639838</v>
      </c>
      <c r="AH25" s="159">
        <f t="shared" si="3"/>
        <v>146525.40721362</v>
      </c>
      <c r="AI25" s="159">
        <f t="shared" si="4"/>
        <v>159218.19499539997</v>
      </c>
      <c r="AJ25" s="159">
        <f t="shared" si="5"/>
        <v>175068.61509443002</v>
      </c>
      <c r="AK25" s="159">
        <f t="shared" si="6"/>
        <v>199046.91892268002</v>
      </c>
      <c r="AL25" s="159">
        <f t="shared" si="7"/>
        <v>223429.74932171998</v>
      </c>
      <c r="AM25" s="159">
        <f t="shared" si="8"/>
        <v>246802.86543721004</v>
      </c>
      <c r="AN25" s="159">
        <f t="shared" si="9"/>
        <v>278777.98367833003</v>
      </c>
      <c r="AO25" s="159">
        <f t="shared" si="10"/>
        <v>311562.63177159999</v>
      </c>
      <c r="AP25" s="159">
        <f t="shared" si="11"/>
        <v>343289.47506256995</v>
      </c>
    </row>
    <row r="26" spans="1:42" ht="17.25" customHeight="1">
      <c r="B26" s="106"/>
      <c r="C26" s="37" t="s">
        <v>22</v>
      </c>
      <c r="D26" s="165">
        <f>D23+D20+D17+D14+D11+D8+D5</f>
        <v>12111.889460643681</v>
      </c>
      <c r="E26" s="165">
        <f t="shared" ref="E26:AC26" si="28">E23+E20+E17+E14+E11+E8+E5</f>
        <v>14410.785450538291</v>
      </c>
      <c r="F26" s="165">
        <f t="shared" si="28"/>
        <v>16642.612351216641</v>
      </c>
      <c r="G26" s="165">
        <f t="shared" si="28"/>
        <v>20128.986003340051</v>
      </c>
      <c r="H26" s="165">
        <f t="shared" si="28"/>
        <v>24827.043821713756</v>
      </c>
      <c r="I26" s="165">
        <f t="shared" si="28"/>
        <v>28120.657671012577</v>
      </c>
      <c r="J26" s="165">
        <f t="shared" si="28"/>
        <v>31777.241280612419</v>
      </c>
      <c r="K26" s="165">
        <f t="shared" si="28"/>
        <v>38075.981632190218</v>
      </c>
      <c r="L26" s="165">
        <f t="shared" si="28"/>
        <v>42725.095358428436</v>
      </c>
      <c r="M26" s="165">
        <f t="shared" si="28"/>
        <v>46404.240368432773</v>
      </c>
      <c r="N26" s="165">
        <f t="shared" si="28"/>
        <v>57273.338079478926</v>
      </c>
      <c r="O26" s="165">
        <f t="shared" si="28"/>
        <v>64700.093260489084</v>
      </c>
      <c r="P26" s="166">
        <f t="shared" si="28"/>
        <v>72531.767786648445</v>
      </c>
      <c r="Q26" s="158">
        <f t="shared" si="28"/>
        <v>16098.696147578312</v>
      </c>
      <c r="R26" s="158">
        <f t="shared" si="28"/>
        <v>19621.388652063237</v>
      </c>
      <c r="S26" s="158">
        <f t="shared" si="28"/>
        <v>22170.920102974022</v>
      </c>
      <c r="T26" s="158">
        <f t="shared" si="28"/>
        <v>25375.431881476339</v>
      </c>
      <c r="U26" s="158">
        <f t="shared" si="28"/>
        <v>29606.680656943936</v>
      </c>
      <c r="V26" s="158">
        <f t="shared" si="28"/>
        <v>32878.216666872366</v>
      </c>
      <c r="W26" s="158">
        <f t="shared" si="28"/>
        <v>36917.163611162177</v>
      </c>
      <c r="X26" s="158">
        <f t="shared" si="28"/>
        <v>43266.70959399634</v>
      </c>
      <c r="Y26" s="158">
        <f t="shared" si="28"/>
        <v>48697.974590483958</v>
      </c>
      <c r="Z26" s="158">
        <f t="shared" si="28"/>
        <v>52896.941538506049</v>
      </c>
      <c r="AA26" s="158">
        <f t="shared" si="28"/>
        <v>61782.483113711409</v>
      </c>
      <c r="AB26" s="158">
        <f t="shared" si="28"/>
        <v>69162.945634899806</v>
      </c>
      <c r="AC26" s="158">
        <f t="shared" si="28"/>
        <v>75928.797323288542</v>
      </c>
      <c r="AD26" s="159">
        <f t="shared" si="14"/>
        <v>28210.585608221991</v>
      </c>
      <c r="AE26" s="159">
        <f t="shared" si="0"/>
        <v>34032.17410260153</v>
      </c>
      <c r="AF26" s="159">
        <f t="shared" si="1"/>
        <v>38813.532454190659</v>
      </c>
      <c r="AG26" s="159">
        <f t="shared" si="2"/>
        <v>45504.417884816387</v>
      </c>
      <c r="AH26" s="159">
        <f t="shared" si="3"/>
        <v>54433.724478657692</v>
      </c>
      <c r="AI26" s="159">
        <f t="shared" si="4"/>
        <v>60998.874337884947</v>
      </c>
      <c r="AJ26" s="159">
        <f t="shared" si="5"/>
        <v>68694.404891774597</v>
      </c>
      <c r="AK26" s="159">
        <f t="shared" si="6"/>
        <v>81342.691226186551</v>
      </c>
      <c r="AL26" s="159">
        <f t="shared" si="7"/>
        <v>91423.069948912394</v>
      </c>
      <c r="AM26" s="159">
        <f t="shared" si="8"/>
        <v>99301.181906938815</v>
      </c>
      <c r="AN26" s="159">
        <f t="shared" si="9"/>
        <v>119055.82119319034</v>
      </c>
      <c r="AO26" s="159">
        <f t="shared" si="10"/>
        <v>133863.03889538889</v>
      </c>
      <c r="AP26" s="159">
        <f t="shared" si="11"/>
        <v>148460.56510993699</v>
      </c>
    </row>
    <row r="27" spans="1:42" ht="17.25" customHeight="1">
      <c r="B27" s="107"/>
      <c r="C27" s="39" t="s">
        <v>40</v>
      </c>
      <c r="D27" s="167">
        <f t="shared" ref="D27:AC27" si="29">D24+D21+D18+D15+D12+D9+D6</f>
        <v>55051.431491186326</v>
      </c>
      <c r="E27" s="167">
        <f t="shared" si="29"/>
        <v>67813.089654461699</v>
      </c>
      <c r="F27" s="167">
        <f t="shared" si="29"/>
        <v>79685.153177783359</v>
      </c>
      <c r="G27" s="167">
        <f t="shared" si="29"/>
        <v>86950.486438659951</v>
      </c>
      <c r="H27" s="167">
        <f t="shared" si="29"/>
        <v>91582.717762726243</v>
      </c>
      <c r="I27" s="167">
        <f t="shared" si="29"/>
        <v>97710.516167747439</v>
      </c>
      <c r="J27" s="167">
        <f t="shared" si="29"/>
        <v>105851.05170670757</v>
      </c>
      <c r="K27" s="167">
        <f t="shared" si="29"/>
        <v>117156.02866073977</v>
      </c>
      <c r="L27" s="167">
        <f t="shared" si="29"/>
        <v>131401.19754970155</v>
      </c>
      <c r="M27" s="167">
        <f t="shared" si="29"/>
        <v>146847.76302350723</v>
      </c>
      <c r="N27" s="167">
        <f t="shared" si="29"/>
        <v>159069.63852948108</v>
      </c>
      <c r="O27" s="167">
        <f t="shared" si="29"/>
        <v>176996.2887240909</v>
      </c>
      <c r="P27" s="168">
        <f t="shared" si="29"/>
        <v>194065.89100266155</v>
      </c>
      <c r="Q27" s="160">
        <f t="shared" si="29"/>
        <v>412.01891550168688</v>
      </c>
      <c r="R27" s="161">
        <f t="shared" si="29"/>
        <v>515.47499693676525</v>
      </c>
      <c r="S27" s="161">
        <f t="shared" si="29"/>
        <v>558.83026702597954</v>
      </c>
      <c r="T27" s="161">
        <f t="shared" si="29"/>
        <v>542.73551452366371</v>
      </c>
      <c r="U27" s="161">
        <f t="shared" si="29"/>
        <v>508.96497223606286</v>
      </c>
      <c r="V27" s="161">
        <f t="shared" si="29"/>
        <v>508.80448976764075</v>
      </c>
      <c r="W27" s="161">
        <f t="shared" si="29"/>
        <v>523.15849594782105</v>
      </c>
      <c r="X27" s="161">
        <f t="shared" si="29"/>
        <v>548.19903575366027</v>
      </c>
      <c r="Y27" s="161">
        <f t="shared" si="29"/>
        <v>605.48182310603841</v>
      </c>
      <c r="Z27" s="161">
        <f t="shared" si="29"/>
        <v>653.92050676395297</v>
      </c>
      <c r="AA27" s="161">
        <f t="shared" si="29"/>
        <v>652.52395565859308</v>
      </c>
      <c r="AB27" s="161">
        <f t="shared" si="29"/>
        <v>703.30415212019204</v>
      </c>
      <c r="AC27" s="161">
        <f t="shared" si="29"/>
        <v>763.01894996146052</v>
      </c>
      <c r="AD27" s="162">
        <f t="shared" si="14"/>
        <v>55463.450406688011</v>
      </c>
      <c r="AE27" s="162">
        <f t="shared" si="0"/>
        <v>68328.564651398468</v>
      </c>
      <c r="AF27" s="162">
        <f t="shared" si="1"/>
        <v>80243.983444809332</v>
      </c>
      <c r="AG27" s="162">
        <f t="shared" si="2"/>
        <v>87493.221953183616</v>
      </c>
      <c r="AH27" s="162">
        <f t="shared" si="3"/>
        <v>92091.682734962305</v>
      </c>
      <c r="AI27" s="162">
        <f t="shared" si="4"/>
        <v>98219.320657515083</v>
      </c>
      <c r="AJ27" s="162">
        <f t="shared" si="5"/>
        <v>106374.21020265539</v>
      </c>
      <c r="AK27" s="162">
        <f t="shared" si="6"/>
        <v>117704.22769649343</v>
      </c>
      <c r="AL27" s="162">
        <f t="shared" si="7"/>
        <v>132006.67937280759</v>
      </c>
      <c r="AM27" s="162">
        <f t="shared" si="8"/>
        <v>147501.68353027117</v>
      </c>
      <c r="AN27" s="162">
        <f t="shared" si="9"/>
        <v>159722.16248513968</v>
      </c>
      <c r="AO27" s="162">
        <f t="shared" si="10"/>
        <v>177699.5928762111</v>
      </c>
      <c r="AP27" s="162">
        <f t="shared" si="11"/>
        <v>194828.90995262301</v>
      </c>
    </row>
    <row r="28" spans="1:42">
      <c r="D28" s="164"/>
      <c r="E28" s="164"/>
      <c r="F28" s="164"/>
      <c r="G28" s="164"/>
      <c r="H28" s="164"/>
      <c r="I28" s="164"/>
      <c r="J28" s="164"/>
      <c r="K28" s="164"/>
      <c r="L28" s="164"/>
      <c r="M28" s="164"/>
      <c r="N28" s="164"/>
      <c r="O28" s="164"/>
      <c r="P28" s="164"/>
      <c r="Q28" s="164"/>
      <c r="R28" s="164"/>
      <c r="S28" s="164"/>
      <c r="T28" s="164"/>
      <c r="U28" s="164"/>
      <c r="V28" s="164"/>
      <c r="W28" s="164"/>
      <c r="X28" s="164"/>
      <c r="Y28" s="164"/>
      <c r="Z28" s="164"/>
      <c r="AA28" s="164"/>
      <c r="AB28" s="577"/>
      <c r="AC28" s="577"/>
      <c r="AD28" s="163"/>
      <c r="AE28" s="163"/>
      <c r="AF28" s="163"/>
      <c r="AG28" s="163"/>
      <c r="AH28" s="163"/>
      <c r="AI28" s="163"/>
      <c r="AJ28" s="163"/>
      <c r="AK28" s="163"/>
      <c r="AL28" s="163"/>
      <c r="AM28" s="163"/>
      <c r="AN28" s="163"/>
      <c r="AO28" s="163"/>
      <c r="AP28" s="163"/>
    </row>
    <row r="29" spans="1:42" s="100" customFormat="1" ht="15" customHeight="1">
      <c r="A29" s="101"/>
      <c r="B29" s="101" t="s">
        <v>274</v>
      </c>
      <c r="C29" s="101"/>
      <c r="D29" s="632" t="s">
        <v>102</v>
      </c>
      <c r="E29" s="632"/>
      <c r="F29" s="632"/>
      <c r="G29" s="632"/>
      <c r="H29" s="632"/>
      <c r="I29" s="632"/>
      <c r="J29" s="632"/>
      <c r="K29" s="632"/>
      <c r="L29" s="632"/>
      <c r="M29" s="632"/>
      <c r="N29" s="632"/>
      <c r="O29" s="632"/>
      <c r="P29" s="130"/>
      <c r="Q29" s="632" t="s">
        <v>56</v>
      </c>
      <c r="R29" s="632"/>
      <c r="S29" s="632"/>
      <c r="T29" s="632"/>
      <c r="U29" s="632"/>
      <c r="V29" s="632"/>
      <c r="W29" s="632"/>
      <c r="X29" s="632"/>
      <c r="Y29" s="632"/>
      <c r="Z29" s="632"/>
      <c r="AA29" s="632"/>
      <c r="AB29" s="632"/>
      <c r="AC29" s="127"/>
      <c r="AD29" s="632" t="s">
        <v>37</v>
      </c>
      <c r="AE29" s="632"/>
      <c r="AF29" s="632"/>
      <c r="AG29" s="632"/>
      <c r="AH29" s="632"/>
      <c r="AI29" s="632"/>
      <c r="AJ29" s="632"/>
      <c r="AK29" s="632"/>
      <c r="AL29" s="632"/>
      <c r="AM29" s="632"/>
      <c r="AN29" s="632"/>
      <c r="AO29" s="632"/>
    </row>
    <row r="30" spans="1:42" ht="27" customHeight="1">
      <c r="B30" s="108"/>
      <c r="C30" s="108"/>
      <c r="D30" s="36">
        <v>2002</v>
      </c>
      <c r="E30" s="36">
        <v>2003</v>
      </c>
      <c r="F30" s="36">
        <v>2004</v>
      </c>
      <c r="G30" s="36">
        <v>2005</v>
      </c>
      <c r="H30" s="36">
        <v>2006</v>
      </c>
      <c r="I30" s="36">
        <v>2007</v>
      </c>
      <c r="J30" s="36">
        <v>2008</v>
      </c>
      <c r="K30" s="36">
        <v>2009</v>
      </c>
      <c r="L30" s="36">
        <v>2010</v>
      </c>
      <c r="M30" s="36">
        <v>2011</v>
      </c>
      <c r="N30" s="36">
        <v>2012</v>
      </c>
      <c r="O30" s="36">
        <v>2013</v>
      </c>
      <c r="P30" s="131">
        <v>2014</v>
      </c>
      <c r="Q30" s="36">
        <v>2002</v>
      </c>
      <c r="R30" s="36">
        <v>2003</v>
      </c>
      <c r="S30" s="36">
        <v>2004</v>
      </c>
      <c r="T30" s="36">
        <v>2005</v>
      </c>
      <c r="U30" s="36">
        <v>2006</v>
      </c>
      <c r="V30" s="36">
        <v>2007</v>
      </c>
      <c r="W30" s="36">
        <v>2008</v>
      </c>
      <c r="X30" s="36">
        <v>2009</v>
      </c>
      <c r="Y30" s="36">
        <v>2010</v>
      </c>
      <c r="Z30" s="36">
        <v>2011</v>
      </c>
      <c r="AA30" s="36">
        <v>2012</v>
      </c>
      <c r="AB30" s="36">
        <v>2013</v>
      </c>
      <c r="AC30" s="36">
        <v>2014</v>
      </c>
      <c r="AD30" s="36">
        <v>2002</v>
      </c>
      <c r="AE30" s="36">
        <v>2003</v>
      </c>
      <c r="AF30" s="36">
        <v>2004</v>
      </c>
      <c r="AG30" s="36">
        <v>2005</v>
      </c>
      <c r="AH30" s="36">
        <v>2006</v>
      </c>
      <c r="AI30" s="36">
        <v>2007</v>
      </c>
      <c r="AJ30" s="36">
        <v>2008</v>
      </c>
      <c r="AK30" s="36">
        <v>2009</v>
      </c>
      <c r="AL30" s="36">
        <v>2010</v>
      </c>
      <c r="AM30" s="36">
        <v>2011</v>
      </c>
      <c r="AN30" s="36">
        <v>2012</v>
      </c>
      <c r="AO30" s="36">
        <v>2013</v>
      </c>
      <c r="AP30" s="36">
        <v>2014</v>
      </c>
    </row>
    <row r="31" spans="1:42">
      <c r="B31" s="106" t="s">
        <v>53</v>
      </c>
      <c r="C31" s="37" t="s">
        <v>22</v>
      </c>
      <c r="D31" s="117">
        <f>RGPS_Valor_Dezembro_Cálculo!D31</f>
        <v>2.8044677418157801E-2</v>
      </c>
      <c r="E31" s="118">
        <f>RGPS_Valor_Dezembro_Cálculo!E31</f>
        <v>2.8117577794043332E-2</v>
      </c>
      <c r="F31" s="118">
        <f>RGPS_Valor_Dezembro_Cálculo!F31</f>
        <v>2.9562003366065157E-2</v>
      </c>
      <c r="G31" s="118">
        <f>RGPS_Valor_Dezembro_Cálculo!G31</f>
        <v>3.564230339704607E-2</v>
      </c>
      <c r="H31" s="118">
        <f>RGPS_Valor_Dezembro_Cálculo!H31</f>
        <v>4.5247220740624892E-2</v>
      </c>
      <c r="I31" s="118">
        <f>RGPS_Valor_Dezembro_Cálculo!I31</f>
        <v>5.0860641209436827E-2</v>
      </c>
      <c r="J31" s="118">
        <f>RGPS_Valor_Dezembro_Cálculo!J31</f>
        <v>5.6475461648651172E-2</v>
      </c>
      <c r="K31" s="118">
        <f>RGPS_Valor_Dezembro_Cálculo!K31</f>
        <v>6.5375818768578411E-2</v>
      </c>
      <c r="L31" s="118">
        <f>RGPS_Valor_Dezembro_Cálculo!L31</f>
        <v>6.8923914548605608E-2</v>
      </c>
      <c r="M31" s="118">
        <f>RGPS_Valor_Dezembro_Cálculo!M31</f>
        <v>6.9844902974122602E-2</v>
      </c>
      <c r="N31" s="118">
        <f>RGPS_Valor_Dezembro_Cálculo!N31</f>
        <v>8.2549501605132178E-2</v>
      </c>
      <c r="O31" s="118">
        <f>RGPS_Valor_Dezembro_Cálculo!O31</f>
        <v>8.7511368743418652E-2</v>
      </c>
      <c r="P31" s="118">
        <f>RGPS_Valor_Dezembro_Cálculo!P31</f>
        <v>0.10117196633523065</v>
      </c>
      <c r="Q31" s="119">
        <f>RGPS_Valor_Dezembro_Cálculo!Q31</f>
        <v>0.12529339952254459</v>
      </c>
      <c r="R31" s="120">
        <f>RGPS_Valor_Dezembro_Cálculo!R31</f>
        <v>0.12223859681670377</v>
      </c>
      <c r="S31" s="120">
        <f>RGPS_Valor_Dezembro_Cálculo!S31</f>
        <v>0.12887685752199296</v>
      </c>
      <c r="T31" s="120">
        <f>RGPS_Valor_Dezembro_Cálculo!T31</f>
        <v>0.1717142447017318</v>
      </c>
      <c r="U31" s="120">
        <f>RGPS_Valor_Dezembro_Cálculo!U31</f>
        <v>0.22672678388427667</v>
      </c>
      <c r="V31" s="120">
        <f>RGPS_Valor_Dezembro_Cálculo!V31</f>
        <v>0.26280652528813847</v>
      </c>
      <c r="W31" s="120">
        <f>RGPS_Valor_Dezembro_Cálculo!W31</f>
        <v>0.29858209965400273</v>
      </c>
      <c r="X31" s="120">
        <f>RGPS_Valor_Dezembro_Cálculo!X31</f>
        <v>0.35709786110463709</v>
      </c>
      <c r="Y31" s="120">
        <f>RGPS_Valor_Dezembro_Cálculo!Y31</f>
        <v>0.37801282084301513</v>
      </c>
      <c r="Z31" s="120">
        <f>RGPS_Valor_Dezembro_Cálculo!Z31</f>
        <v>0.39299974882252819</v>
      </c>
      <c r="AA31" s="120">
        <f>RGPS_Valor_Dezembro_Cálculo!AA31</f>
        <v>0.4506443890897025</v>
      </c>
      <c r="AB31" s="120">
        <f>RGPS_Valor_Dezembro_Cálculo!AB31</f>
        <v>0.47751356376354698</v>
      </c>
      <c r="AC31" s="120">
        <f>RGPS_Valor_Dezembro_Cálculo!AC31</f>
        <v>0.49387910838634508</v>
      </c>
      <c r="AD31" s="121">
        <f>RGPS_Valor_Dezembro_Cálculo!AD31</f>
        <v>2.8158894884436115E-2</v>
      </c>
      <c r="AE31" s="121">
        <f>RGPS_Valor_Dezembro_Cálculo!AE31</f>
        <v>2.8232501110552959E-2</v>
      </c>
      <c r="AF31" s="121">
        <f>RGPS_Valor_Dezembro_Cálculo!AF31</f>
        <v>2.9689419203168421E-2</v>
      </c>
      <c r="AG31" s="121">
        <f>RGPS_Valor_Dezembro_Cálculo!AG31</f>
        <v>3.5836775555136549E-2</v>
      </c>
      <c r="AH31" s="121">
        <f>RGPS_Valor_Dezembro_Cálculo!AH31</f>
        <v>4.5537066539871808E-2</v>
      </c>
      <c r="AI31" s="121">
        <f>RGPS_Valor_Dezembro_Cálculo!AI31</f>
        <v>5.1212182893431601E-2</v>
      </c>
      <c r="AJ31" s="121">
        <f>RGPS_Valor_Dezembro_Cálculo!AJ31</f>
        <v>5.6897083928204431E-2</v>
      </c>
      <c r="AK31" s="121">
        <f>RGPS_Valor_Dezembro_Cálculo!AK31</f>
        <v>6.5916533904611052E-2</v>
      </c>
      <c r="AL31" s="121">
        <f>RGPS_Valor_Dezembro_Cálculo!AL31</f>
        <v>6.9514536617340333E-2</v>
      </c>
      <c r="AM31" s="121">
        <f>RGPS_Valor_Dezembro_Cálculo!AM31</f>
        <v>7.046826467614159E-2</v>
      </c>
      <c r="AN31" s="121">
        <f>RGPS_Valor_Dezembro_Cálculo!AN31</f>
        <v>8.3281019224917832E-2</v>
      </c>
      <c r="AO31" s="121">
        <f>RGPS_Valor_Dezembro_Cálculo!AO31</f>
        <v>8.830008610606227E-2</v>
      </c>
      <c r="AP31" s="121">
        <f>RGPS_Valor_Dezembro_Cálculo!AP31</f>
        <v>8.830008610606227E-2</v>
      </c>
    </row>
    <row r="32" spans="1:42">
      <c r="B32" s="106"/>
      <c r="C32" s="37" t="s">
        <v>40</v>
      </c>
      <c r="D32" s="117">
        <f>RGPS_Valor_Dezembro_Cálculo!D32</f>
        <v>0.97195532258184225</v>
      </c>
      <c r="E32" s="118">
        <f>RGPS_Valor_Dezembro_Cálculo!E32</f>
        <v>0.97188242220595666</v>
      </c>
      <c r="F32" s="118">
        <f>RGPS_Valor_Dezembro_Cálculo!F32</f>
        <v>0.97043799663393482</v>
      </c>
      <c r="G32" s="118">
        <f>RGPS_Valor_Dezembro_Cálculo!G32</f>
        <v>0.9643576966029539</v>
      </c>
      <c r="H32" s="118">
        <f>RGPS_Valor_Dezembro_Cálculo!H32</f>
        <v>0.95475277925937507</v>
      </c>
      <c r="I32" s="118">
        <f>RGPS_Valor_Dezembro_Cálculo!I32</f>
        <v>0.94913935879056321</v>
      </c>
      <c r="J32" s="118">
        <f>RGPS_Valor_Dezembro_Cálculo!J32</f>
        <v>0.94352453835134886</v>
      </c>
      <c r="K32" s="118">
        <f>RGPS_Valor_Dezembro_Cálculo!K32</f>
        <v>0.93462418123142155</v>
      </c>
      <c r="L32" s="118">
        <f>RGPS_Valor_Dezembro_Cálculo!L32</f>
        <v>0.93107608545139442</v>
      </c>
      <c r="M32" s="118">
        <f>RGPS_Valor_Dezembro_Cálculo!M32</f>
        <v>0.9301550970258774</v>
      </c>
      <c r="N32" s="118">
        <f>RGPS_Valor_Dezembro_Cálculo!N32</f>
        <v>0.91745049839486781</v>
      </c>
      <c r="O32" s="118">
        <f>RGPS_Valor_Dezembro_Cálculo!O32</f>
        <v>0.91248863125658131</v>
      </c>
      <c r="P32" s="118">
        <f>RGPS_Valor_Dezembro_Cálculo!P32</f>
        <v>0.89882803366476938</v>
      </c>
      <c r="Q32" s="119">
        <f>RGPS_Valor_Dezembro_Cálculo!Q32</f>
        <v>0.87470660047745541</v>
      </c>
      <c r="R32" s="120">
        <f>RGPS_Valor_Dezembro_Cálculo!R32</f>
        <v>0.87776140318329621</v>
      </c>
      <c r="S32" s="120">
        <f>RGPS_Valor_Dezembro_Cálculo!S32</f>
        <v>0.87112314247800704</v>
      </c>
      <c r="T32" s="120">
        <f>RGPS_Valor_Dezembro_Cálculo!T32</f>
        <v>0.8282857552982682</v>
      </c>
      <c r="U32" s="120">
        <f>RGPS_Valor_Dezembro_Cálculo!U32</f>
        <v>0.77327321611572331</v>
      </c>
      <c r="V32" s="120">
        <f>RGPS_Valor_Dezembro_Cálculo!V32</f>
        <v>0.73719347471186158</v>
      </c>
      <c r="W32" s="120">
        <f>RGPS_Valor_Dezembro_Cálculo!W32</f>
        <v>0.70141790034599727</v>
      </c>
      <c r="X32" s="120">
        <f>RGPS_Valor_Dezembro_Cálculo!X32</f>
        <v>0.64290213889536285</v>
      </c>
      <c r="Y32" s="120">
        <f>RGPS_Valor_Dezembro_Cálculo!Y32</f>
        <v>0.62198717915698487</v>
      </c>
      <c r="Z32" s="120">
        <f>RGPS_Valor_Dezembro_Cálculo!Z32</f>
        <v>0.60700025117747181</v>
      </c>
      <c r="AA32" s="120">
        <f>RGPS_Valor_Dezembro_Cálculo!AA32</f>
        <v>0.5493556109102975</v>
      </c>
      <c r="AB32" s="120">
        <f>RGPS_Valor_Dezembro_Cálculo!AB32</f>
        <v>0.52248643623645297</v>
      </c>
      <c r="AC32" s="120">
        <f>RGPS_Valor_Dezembro_Cálculo!AC32</f>
        <v>0.50612089161365492</v>
      </c>
      <c r="AD32" s="121">
        <f>RGPS_Valor_Dezembro_Cálculo!AD32</f>
        <v>0.97184110511556387</v>
      </c>
      <c r="AE32" s="121">
        <f>RGPS_Valor_Dezembro_Cálculo!AE32</f>
        <v>0.97176749888944702</v>
      </c>
      <c r="AF32" s="121">
        <f>RGPS_Valor_Dezembro_Cálculo!AF32</f>
        <v>0.97031058079683152</v>
      </c>
      <c r="AG32" s="121">
        <f>RGPS_Valor_Dezembro_Cálculo!AG32</f>
        <v>0.96416322444486346</v>
      </c>
      <c r="AH32" s="121">
        <f>RGPS_Valor_Dezembro_Cálculo!AH32</f>
        <v>0.95446293346012823</v>
      </c>
      <c r="AI32" s="121">
        <f>RGPS_Valor_Dezembro_Cálculo!AI32</f>
        <v>0.94878781710656845</v>
      </c>
      <c r="AJ32" s="121">
        <f>RGPS_Valor_Dezembro_Cálculo!AJ32</f>
        <v>0.94310291607179553</v>
      </c>
      <c r="AK32" s="121">
        <f>RGPS_Valor_Dezembro_Cálculo!AK32</f>
        <v>0.93408346609538895</v>
      </c>
      <c r="AL32" s="121">
        <f>RGPS_Valor_Dezembro_Cálculo!AL32</f>
        <v>0.93048546338265969</v>
      </c>
      <c r="AM32" s="121">
        <f>RGPS_Valor_Dezembro_Cálculo!AM32</f>
        <v>0.92953173532385835</v>
      </c>
      <c r="AN32" s="121">
        <f>RGPS_Valor_Dezembro_Cálculo!AN32</f>
        <v>0.91671898077508218</v>
      </c>
      <c r="AO32" s="121">
        <f>RGPS_Valor_Dezembro_Cálculo!AO32</f>
        <v>0.91169991389393767</v>
      </c>
      <c r="AP32" s="121">
        <f>RGPS_Valor_Dezembro_Cálculo!AP32</f>
        <v>0.91169991389393767</v>
      </c>
    </row>
    <row r="33" spans="2:42">
      <c r="B33" s="106" t="s">
        <v>48</v>
      </c>
      <c r="C33" s="37" t="s">
        <v>22</v>
      </c>
      <c r="D33" s="117">
        <f>RGPS_Valor_Dezembro_Cálculo!D33</f>
        <v>0.35349429580925146</v>
      </c>
      <c r="E33" s="118">
        <f>RGPS_Valor_Dezembro_Cálculo!E33</f>
        <v>0.34955178429737899</v>
      </c>
      <c r="F33" s="118">
        <f>RGPS_Valor_Dezembro_Cálculo!F33</f>
        <v>0.3655513545062361</v>
      </c>
      <c r="G33" s="118">
        <f>RGPS_Valor_Dezembro_Cálculo!G33</f>
        <v>0.39703942330177799</v>
      </c>
      <c r="H33" s="118">
        <f>RGPS_Valor_Dezembro_Cálculo!H33</f>
        <v>0.44057280040019176</v>
      </c>
      <c r="I33" s="118">
        <f>RGPS_Valor_Dezembro_Cálculo!I33</f>
        <v>0.45878503277429095</v>
      </c>
      <c r="J33" s="118">
        <f>RGPS_Valor_Dezembro_Cálculo!J33</f>
        <v>0.46974834441490948</v>
      </c>
      <c r="K33" s="118">
        <f>RGPS_Valor_Dezembro_Cálculo!K33</f>
        <v>0.49193341747447761</v>
      </c>
      <c r="L33" s="118">
        <f>RGPS_Valor_Dezembro_Cálculo!L33</f>
        <v>0.4954708752929271</v>
      </c>
      <c r="M33" s="118">
        <f>RGPS_Valor_Dezembro_Cálculo!M33</f>
        <v>0.49125854142119502</v>
      </c>
      <c r="N33" s="118">
        <f>RGPS_Valor_Dezembro_Cálculo!N33</f>
        <v>0.523847718267483</v>
      </c>
      <c r="O33" s="118">
        <f>RGPS_Valor_Dezembro_Cálculo!O33</f>
        <v>0.53120564553607141</v>
      </c>
      <c r="P33" s="118">
        <f>RGPS_Valor_Dezembro_Cálculo!P33</f>
        <v>0.53100305728649844</v>
      </c>
      <c r="Q33" s="119">
        <f>RGPS_Valor_Dezembro_Cálculo!Q33</f>
        <v>0.98942131259324162</v>
      </c>
      <c r="R33" s="120">
        <f>RGPS_Valor_Dezembro_Cálculo!R33</f>
        <v>0.98926124434371998</v>
      </c>
      <c r="S33" s="120">
        <f>RGPS_Valor_Dezembro_Cálculo!S33</f>
        <v>0.99021162695113707</v>
      </c>
      <c r="T33" s="120">
        <f>RGPS_Valor_Dezembro_Cálculo!T33</f>
        <v>0.99131010376578643</v>
      </c>
      <c r="U33" s="120">
        <f>RGPS_Valor_Dezembro_Cálculo!U33</f>
        <v>0.99266961336803128</v>
      </c>
      <c r="V33" s="120">
        <f>RGPS_Valor_Dezembro_Cálculo!V33</f>
        <v>0.99315914251152926</v>
      </c>
      <c r="W33" s="120">
        <f>RGPS_Valor_Dezembro_Cálculo!W33</f>
        <v>0.99355122614923241</v>
      </c>
      <c r="X33" s="120">
        <f>RGPS_Valor_Dezembro_Cálculo!X33</f>
        <v>0.99413070092019784</v>
      </c>
      <c r="Y33" s="120">
        <f>RGPS_Valor_Dezembro_Cálculo!Y33</f>
        <v>0.99419901891202134</v>
      </c>
      <c r="Z33" s="120">
        <f>RGPS_Valor_Dezembro_Cálculo!Z33</f>
        <v>0.99413140181360815</v>
      </c>
      <c r="AA33" s="120">
        <f>RGPS_Valor_Dezembro_Cálculo!AA33</f>
        <v>0.9947598604964929</v>
      </c>
      <c r="AB33" s="120">
        <f>RGPS_Valor_Dezembro_Cálculo!AB33</f>
        <v>0.99487821825574729</v>
      </c>
      <c r="AC33" s="120">
        <f>RGPS_Valor_Dezembro_Cálculo!AC33</f>
        <v>0.99475595168946895</v>
      </c>
      <c r="AD33" s="121">
        <f>RGPS_Valor_Dezembro_Cálculo!AD33</f>
        <v>0.74974213925601574</v>
      </c>
      <c r="AE33" s="121">
        <f>RGPS_Valor_Dezembro_Cálculo!AE33</f>
        <v>0.74173405829137473</v>
      </c>
      <c r="AF33" s="121">
        <f>RGPS_Valor_Dezembro_Cálculo!AF33</f>
        <v>0.74077777310355797</v>
      </c>
      <c r="AG33" s="121">
        <f>RGPS_Valor_Dezembro_Cálculo!AG33</f>
        <v>0.7562898323924605</v>
      </c>
      <c r="AH33" s="121">
        <f>RGPS_Valor_Dezembro_Cálculo!AH33</f>
        <v>0.77930029310009397</v>
      </c>
      <c r="AI33" s="121">
        <f>RGPS_Valor_Dezembro_Cálculo!AI33</f>
        <v>0.78624835122913039</v>
      </c>
      <c r="AJ33" s="121">
        <f>RGPS_Valor_Dezembro_Cálculo!AJ33</f>
        <v>0.78884305257198439</v>
      </c>
      <c r="AK33" s="121">
        <f>RGPS_Valor_Dezembro_Cálculo!AK33</f>
        <v>0.79693705847463236</v>
      </c>
      <c r="AL33" s="121">
        <f>RGPS_Valor_Dezembro_Cálculo!AL33</f>
        <v>0.79670484337650016</v>
      </c>
      <c r="AM33" s="121">
        <f>RGPS_Valor_Dezembro_Cálculo!AM33</f>
        <v>0.79169118308193276</v>
      </c>
      <c r="AN33" s="121">
        <f>RGPS_Valor_Dezembro_Cálculo!AN33</f>
        <v>0.80525165261085008</v>
      </c>
      <c r="AO33" s="121">
        <f>RGPS_Valor_Dezembro_Cálculo!AO33</f>
        <v>0.80512990408087026</v>
      </c>
      <c r="AP33" s="121">
        <f>RGPS_Valor_Dezembro_Cálculo!AP33</f>
        <v>0.80512990408087026</v>
      </c>
    </row>
    <row r="34" spans="2:42">
      <c r="B34" s="106"/>
      <c r="C34" s="37" t="s">
        <v>40</v>
      </c>
      <c r="D34" s="117">
        <f>RGPS_Valor_Dezembro_Cálculo!D34</f>
        <v>0.64650570419074849</v>
      </c>
      <c r="E34" s="118">
        <f>RGPS_Valor_Dezembro_Cálculo!E34</f>
        <v>0.65044821570262101</v>
      </c>
      <c r="F34" s="118">
        <f>RGPS_Valor_Dezembro_Cálculo!F34</f>
        <v>0.6344486454937639</v>
      </c>
      <c r="G34" s="118">
        <f>RGPS_Valor_Dezembro_Cálculo!G34</f>
        <v>0.60296057669822201</v>
      </c>
      <c r="H34" s="118">
        <f>RGPS_Valor_Dezembro_Cálculo!H34</f>
        <v>0.55942719959980824</v>
      </c>
      <c r="I34" s="118">
        <f>RGPS_Valor_Dezembro_Cálculo!I34</f>
        <v>0.54121496722570905</v>
      </c>
      <c r="J34" s="118">
        <f>RGPS_Valor_Dezembro_Cálculo!J34</f>
        <v>0.53025165558509046</v>
      </c>
      <c r="K34" s="118">
        <f>RGPS_Valor_Dezembro_Cálculo!K34</f>
        <v>0.50806658252552239</v>
      </c>
      <c r="L34" s="118">
        <f>RGPS_Valor_Dezembro_Cálculo!L34</f>
        <v>0.5045291247070729</v>
      </c>
      <c r="M34" s="118">
        <f>RGPS_Valor_Dezembro_Cálculo!M34</f>
        <v>0.50874145857880504</v>
      </c>
      <c r="N34" s="118">
        <f>RGPS_Valor_Dezembro_Cálculo!N34</f>
        <v>0.476152281732517</v>
      </c>
      <c r="O34" s="118">
        <f>RGPS_Valor_Dezembro_Cálculo!O34</f>
        <v>0.46879435446392859</v>
      </c>
      <c r="P34" s="118">
        <f>RGPS_Valor_Dezembro_Cálculo!P34</f>
        <v>0.46899694271350156</v>
      </c>
      <c r="Q34" s="119">
        <f>RGPS_Valor_Dezembro_Cálculo!Q34</f>
        <v>1.057868740675838E-2</v>
      </c>
      <c r="R34" s="120">
        <f>RGPS_Valor_Dezembro_Cálculo!R34</f>
        <v>1.0738755656280019E-2</v>
      </c>
      <c r="S34" s="120">
        <f>RGPS_Valor_Dezembro_Cálculo!S34</f>
        <v>9.7883730488629306E-3</v>
      </c>
      <c r="T34" s="120">
        <f>RGPS_Valor_Dezembro_Cálculo!T34</f>
        <v>8.6898962342135677E-3</v>
      </c>
      <c r="U34" s="120">
        <f>RGPS_Valor_Dezembro_Cálculo!U34</f>
        <v>7.3303866319687216E-3</v>
      </c>
      <c r="V34" s="120">
        <f>RGPS_Valor_Dezembro_Cálculo!V34</f>
        <v>6.8408574884707418E-3</v>
      </c>
      <c r="W34" s="120">
        <f>RGPS_Valor_Dezembro_Cálculo!W34</f>
        <v>6.4487738507675862E-3</v>
      </c>
      <c r="X34" s="120">
        <f>RGPS_Valor_Dezembro_Cálculo!X34</f>
        <v>5.8692990798021594E-3</v>
      </c>
      <c r="Y34" s="120">
        <f>RGPS_Valor_Dezembro_Cálculo!Y34</f>
        <v>5.8009810879786627E-3</v>
      </c>
      <c r="Z34" s="120">
        <f>RGPS_Valor_Dezembro_Cálculo!Z34</f>
        <v>5.868598186391849E-3</v>
      </c>
      <c r="AA34" s="120">
        <f>RGPS_Valor_Dezembro_Cálculo!AA34</f>
        <v>5.2401395035071019E-3</v>
      </c>
      <c r="AB34" s="120">
        <f>RGPS_Valor_Dezembro_Cálculo!AB34</f>
        <v>5.1217817442527069E-3</v>
      </c>
      <c r="AC34" s="120">
        <f>RGPS_Valor_Dezembro_Cálculo!AC34</f>
        <v>5.2440483105310465E-3</v>
      </c>
      <c r="AD34" s="121">
        <f>RGPS_Valor_Dezembro_Cálculo!AD34</f>
        <v>0.25025786074398426</v>
      </c>
      <c r="AE34" s="121">
        <f>RGPS_Valor_Dezembro_Cálculo!AE34</f>
        <v>0.25826594170862527</v>
      </c>
      <c r="AF34" s="121">
        <f>RGPS_Valor_Dezembro_Cálculo!AF34</f>
        <v>0.25922222689644203</v>
      </c>
      <c r="AG34" s="121">
        <f>RGPS_Valor_Dezembro_Cálculo!AG34</f>
        <v>0.2437101676075395</v>
      </c>
      <c r="AH34" s="121">
        <f>RGPS_Valor_Dezembro_Cálculo!AH34</f>
        <v>0.22069970689990603</v>
      </c>
      <c r="AI34" s="121">
        <f>RGPS_Valor_Dezembro_Cálculo!AI34</f>
        <v>0.21375164877086961</v>
      </c>
      <c r="AJ34" s="121">
        <f>RGPS_Valor_Dezembro_Cálculo!AJ34</f>
        <v>0.21115694742801561</v>
      </c>
      <c r="AK34" s="121">
        <f>RGPS_Valor_Dezembro_Cálculo!AK34</f>
        <v>0.20306294152536764</v>
      </c>
      <c r="AL34" s="121">
        <f>RGPS_Valor_Dezembro_Cálculo!AL34</f>
        <v>0.20329515662349984</v>
      </c>
      <c r="AM34" s="121">
        <f>RGPS_Valor_Dezembro_Cálculo!AM34</f>
        <v>0.20830881691806724</v>
      </c>
      <c r="AN34" s="121">
        <f>RGPS_Valor_Dezembro_Cálculo!AN34</f>
        <v>0.19474834738914992</v>
      </c>
      <c r="AO34" s="121">
        <f>RGPS_Valor_Dezembro_Cálculo!AO34</f>
        <v>0.19487009591912974</v>
      </c>
      <c r="AP34" s="121">
        <f>RGPS_Valor_Dezembro_Cálculo!AP34</f>
        <v>0.19487009591912974</v>
      </c>
    </row>
    <row r="35" spans="2:42">
      <c r="B35" s="106" t="s">
        <v>23</v>
      </c>
      <c r="C35" s="37" t="s">
        <v>22</v>
      </c>
      <c r="D35" s="117">
        <f>RGPS_Valor_Dezembro_Cálculo!D35</f>
        <v>0.40644799607745824</v>
      </c>
      <c r="E35" s="118">
        <f>RGPS_Valor_Dezembro_Cálculo!E35</f>
        <v>0.36676208080622014</v>
      </c>
      <c r="F35" s="118">
        <f>RGPS_Valor_Dezembro_Cálculo!F35</f>
        <v>0.33953395745437925</v>
      </c>
      <c r="G35" s="118">
        <f>RGPS_Valor_Dezembro_Cálculo!G35</f>
        <v>0.34003372375480856</v>
      </c>
      <c r="H35" s="118">
        <f>RGPS_Valor_Dezembro_Cálculo!H35</f>
        <v>0.36027138050322371</v>
      </c>
      <c r="I35" s="118">
        <f>RGPS_Valor_Dezembro_Cálculo!I35</f>
        <v>0.3691625206658713</v>
      </c>
      <c r="J35" s="118">
        <f>RGPS_Valor_Dezembro_Cálculo!J35</f>
        <v>0.36386318404588935</v>
      </c>
      <c r="K35" s="118">
        <f>RGPS_Valor_Dezembro_Cálculo!K35</f>
        <v>0.36933494172528175</v>
      </c>
      <c r="L35" s="118">
        <f>RGPS_Valor_Dezembro_Cálculo!L35</f>
        <v>0.35742790195305607</v>
      </c>
      <c r="M35" s="118">
        <f>RGPS_Valor_Dezembro_Cálculo!M35</f>
        <v>0.3433447227794113</v>
      </c>
      <c r="N35" s="118">
        <f>RGPS_Valor_Dezembro_Cálculo!N35</f>
        <v>0.36610811489272582</v>
      </c>
      <c r="O35" s="118">
        <f>RGPS_Valor_Dezembro_Cálculo!O35</f>
        <v>0.35650345808615502</v>
      </c>
      <c r="P35" s="118">
        <f>RGPS_Valor_Dezembro_Cálculo!P35</f>
        <v>0.35101767511941739</v>
      </c>
      <c r="Q35" s="119">
        <f>RGPS_Valor_Dezembro_Cálculo!Q35</f>
        <v>0.92832394087994741</v>
      </c>
      <c r="R35" s="120">
        <f>RGPS_Valor_Dezembro_Cálculo!R35</f>
        <v>0.91750144292905833</v>
      </c>
      <c r="S35" s="120">
        <f>RGPS_Valor_Dezembro_Cálculo!S35</f>
        <v>0.91645576895610881</v>
      </c>
      <c r="T35" s="120">
        <f>RGPS_Valor_Dezembro_Cálculo!T35</f>
        <v>0.92599694167591162</v>
      </c>
      <c r="U35" s="120">
        <f>RGPS_Valor_Dezembro_Cálculo!U35</f>
        <v>0.94012905410801018</v>
      </c>
      <c r="V35" s="120">
        <f>RGPS_Valor_Dezembro_Cálculo!V35</f>
        <v>0.94589328338480749</v>
      </c>
      <c r="W35" s="120">
        <f>RGPS_Valor_Dezembro_Cálculo!W35</f>
        <v>0.95119929357936162</v>
      </c>
      <c r="X35" s="120">
        <f>RGPS_Valor_Dezembro_Cálculo!X35</f>
        <v>0.95758680281259123</v>
      </c>
      <c r="Y35" s="120">
        <f>RGPS_Valor_Dezembro_Cálculo!Y35</f>
        <v>0.95979721458679101</v>
      </c>
      <c r="Z35" s="120">
        <f>RGPS_Valor_Dezembro_Cálculo!Z35</f>
        <v>0.96091049972155074</v>
      </c>
      <c r="AA35" s="120">
        <f>RGPS_Valor_Dezembro_Cálculo!AA35</f>
        <v>0.96759874789505873</v>
      </c>
      <c r="AB35" s="120">
        <f>RGPS_Valor_Dezembro_Cálculo!AB35</f>
        <v>0.96965433054467298</v>
      </c>
      <c r="AC35" s="120">
        <f>RGPS_Valor_Dezembro_Cálculo!AC35</f>
        <v>0.97125693267333957</v>
      </c>
      <c r="AD35" s="121">
        <f>RGPS_Valor_Dezembro_Cálculo!AD35</f>
        <v>0.46935132278071862</v>
      </c>
      <c r="AE35" s="121">
        <f>RGPS_Valor_Dezembro_Cálculo!AE35</f>
        <v>0.42963675663013723</v>
      </c>
      <c r="AF35" s="121">
        <f>RGPS_Valor_Dezembro_Cálculo!AF35</f>
        <v>0.40118041973644808</v>
      </c>
      <c r="AG35" s="121">
        <f>RGPS_Valor_Dezembro_Cálculo!AG35</f>
        <v>0.40068464570320411</v>
      </c>
      <c r="AH35" s="121">
        <f>RGPS_Valor_Dezembro_Cálculo!AH35</f>
        <v>0.42059627920914139</v>
      </c>
      <c r="AI35" s="121">
        <f>RGPS_Valor_Dezembro_Cálculo!AI35</f>
        <v>0.42832123058030114</v>
      </c>
      <c r="AJ35" s="121">
        <f>RGPS_Valor_Dezembro_Cálculo!AJ35</f>
        <v>0.42239078335270469</v>
      </c>
      <c r="AK35" s="121">
        <f>RGPS_Valor_Dezembro_Cálculo!AK35</f>
        <v>0.42736432416036491</v>
      </c>
      <c r="AL35" s="121">
        <f>RGPS_Valor_Dezembro_Cálculo!AL35</f>
        <v>0.41571200622302318</v>
      </c>
      <c r="AM35" s="121">
        <f>RGPS_Valor_Dezembro_Cálculo!AM35</f>
        <v>0.40158541000803594</v>
      </c>
      <c r="AN35" s="121">
        <f>RGPS_Valor_Dezembro_Cálculo!AN35</f>
        <v>0.42384318281737837</v>
      </c>
      <c r="AO35" s="121">
        <f>RGPS_Valor_Dezembro_Cálculo!AO35</f>
        <v>0.41467193090519117</v>
      </c>
      <c r="AP35" s="121">
        <f>RGPS_Valor_Dezembro_Cálculo!AP35</f>
        <v>0.41467193090519117</v>
      </c>
    </row>
    <row r="36" spans="2:42">
      <c r="B36" s="106"/>
      <c r="C36" s="37" t="s">
        <v>40</v>
      </c>
      <c r="D36" s="117">
        <f>RGPS_Valor_Dezembro_Cálculo!D36</f>
        <v>0.5935520039225417</v>
      </c>
      <c r="E36" s="118">
        <f>RGPS_Valor_Dezembro_Cálculo!E36</f>
        <v>0.63323791919377981</v>
      </c>
      <c r="F36" s="118">
        <f>RGPS_Valor_Dezembro_Cálculo!F36</f>
        <v>0.6604660425456208</v>
      </c>
      <c r="G36" s="118">
        <f>RGPS_Valor_Dezembro_Cálculo!G36</f>
        <v>0.65996627624519144</v>
      </c>
      <c r="H36" s="118">
        <f>RGPS_Valor_Dezembro_Cálculo!H36</f>
        <v>0.63972861949677629</v>
      </c>
      <c r="I36" s="118">
        <f>RGPS_Valor_Dezembro_Cálculo!I36</f>
        <v>0.6308374793341287</v>
      </c>
      <c r="J36" s="118">
        <f>RGPS_Valor_Dezembro_Cálculo!J36</f>
        <v>0.63613681595411065</v>
      </c>
      <c r="K36" s="118">
        <f>RGPS_Valor_Dezembro_Cálculo!K36</f>
        <v>0.63066505827471819</v>
      </c>
      <c r="L36" s="118">
        <f>RGPS_Valor_Dezembro_Cálculo!L36</f>
        <v>0.64257209804694393</v>
      </c>
      <c r="M36" s="118">
        <f>RGPS_Valor_Dezembro_Cálculo!M36</f>
        <v>0.6566552772205887</v>
      </c>
      <c r="N36" s="118">
        <f>RGPS_Valor_Dezembro_Cálculo!N36</f>
        <v>0.63389188510727412</v>
      </c>
      <c r="O36" s="118">
        <f>RGPS_Valor_Dezembro_Cálculo!O36</f>
        <v>0.64349654191384498</v>
      </c>
      <c r="P36" s="118">
        <f>RGPS_Valor_Dezembro_Cálculo!P36</f>
        <v>0.64898232488058261</v>
      </c>
      <c r="Q36" s="119">
        <f>RGPS_Valor_Dezembro_Cálculo!Q36</f>
        <v>7.1676059120052593E-2</v>
      </c>
      <c r="R36" s="120">
        <f>RGPS_Valor_Dezembro_Cálculo!R36</f>
        <v>8.2498557070941669E-2</v>
      </c>
      <c r="S36" s="120">
        <f>RGPS_Valor_Dezembro_Cálculo!S36</f>
        <v>8.3544231043891193E-2</v>
      </c>
      <c r="T36" s="120">
        <f>RGPS_Valor_Dezembro_Cálculo!T36</f>
        <v>7.4003058324088378E-2</v>
      </c>
      <c r="U36" s="120">
        <f>RGPS_Valor_Dezembro_Cálculo!U36</f>
        <v>5.9870945891989824E-2</v>
      </c>
      <c r="V36" s="120">
        <f>RGPS_Valor_Dezembro_Cálculo!V36</f>
        <v>5.4106716615192507E-2</v>
      </c>
      <c r="W36" s="120">
        <f>RGPS_Valor_Dezembro_Cálculo!W36</f>
        <v>4.8800706420638384E-2</v>
      </c>
      <c r="X36" s="120">
        <f>RGPS_Valor_Dezembro_Cálculo!X36</f>
        <v>4.2413197187408769E-2</v>
      </c>
      <c r="Y36" s="120">
        <f>RGPS_Valor_Dezembro_Cálculo!Y36</f>
        <v>4.0202785413208986E-2</v>
      </c>
      <c r="Z36" s="120">
        <f>RGPS_Valor_Dezembro_Cálculo!Z36</f>
        <v>3.9089500278449263E-2</v>
      </c>
      <c r="AA36" s="120">
        <f>RGPS_Valor_Dezembro_Cálculo!AA36</f>
        <v>3.2401252104941269E-2</v>
      </c>
      <c r="AB36" s="120">
        <f>RGPS_Valor_Dezembro_Cálculo!AB36</f>
        <v>3.0345669455327018E-2</v>
      </c>
      <c r="AC36" s="120">
        <f>RGPS_Valor_Dezembro_Cálculo!AC36</f>
        <v>2.8743067326660432E-2</v>
      </c>
      <c r="AD36" s="121">
        <f>RGPS_Valor_Dezembro_Cálculo!AD36</f>
        <v>0.53064867721928133</v>
      </c>
      <c r="AE36" s="121">
        <f>RGPS_Valor_Dezembro_Cálculo!AE36</f>
        <v>0.57036324336986277</v>
      </c>
      <c r="AF36" s="121">
        <f>RGPS_Valor_Dezembro_Cálculo!AF36</f>
        <v>0.59881958026355186</v>
      </c>
      <c r="AG36" s="121">
        <f>RGPS_Valor_Dezembro_Cálculo!AG36</f>
        <v>0.59931535429679594</v>
      </c>
      <c r="AH36" s="121">
        <f>RGPS_Valor_Dezembro_Cálculo!AH36</f>
        <v>0.57940372079085867</v>
      </c>
      <c r="AI36" s="121">
        <f>RGPS_Valor_Dezembro_Cálculo!AI36</f>
        <v>0.57167876941969886</v>
      </c>
      <c r="AJ36" s="121">
        <f>RGPS_Valor_Dezembro_Cálculo!AJ36</f>
        <v>0.57760921664729525</v>
      </c>
      <c r="AK36" s="121">
        <f>RGPS_Valor_Dezembro_Cálculo!AK36</f>
        <v>0.57263567583963515</v>
      </c>
      <c r="AL36" s="121">
        <f>RGPS_Valor_Dezembro_Cálculo!AL36</f>
        <v>0.58428799377697682</v>
      </c>
      <c r="AM36" s="121">
        <f>RGPS_Valor_Dezembro_Cálculo!AM36</f>
        <v>0.59841458999196406</v>
      </c>
      <c r="AN36" s="121">
        <f>RGPS_Valor_Dezembro_Cálculo!AN36</f>
        <v>0.57615681718262168</v>
      </c>
      <c r="AO36" s="121">
        <f>RGPS_Valor_Dezembro_Cálculo!AO36</f>
        <v>0.58532806909480883</v>
      </c>
      <c r="AP36" s="121">
        <f>RGPS_Valor_Dezembro_Cálculo!AP36</f>
        <v>0.58532806909480883</v>
      </c>
    </row>
    <row r="37" spans="2:42">
      <c r="B37" s="106" t="s">
        <v>24</v>
      </c>
      <c r="C37" s="37" t="s">
        <v>22</v>
      </c>
      <c r="D37" s="117">
        <f>RGPS_Valor_Dezembro_Cálculo!D37</f>
        <v>0.31278358925356553</v>
      </c>
      <c r="E37" s="118">
        <f>RGPS_Valor_Dezembro_Cálculo!E37</f>
        <v>0.30088881992761096</v>
      </c>
      <c r="F37" s="118">
        <f>RGPS_Valor_Dezembro_Cálculo!F37</f>
        <v>0.29078852120736209</v>
      </c>
      <c r="G37" s="118">
        <f>RGPS_Valor_Dezembro_Cálculo!G37</f>
        <v>0.31122698153608458</v>
      </c>
      <c r="H37" s="118">
        <f>RGPS_Valor_Dezembro_Cálculo!H37</f>
        <v>0.3344476340913114</v>
      </c>
      <c r="I37" s="118">
        <f>RGPS_Valor_Dezembro_Cálculo!I37</f>
        <v>0.34256651697734863</v>
      </c>
      <c r="J37" s="118">
        <f>RGPS_Valor_Dezembro_Cálculo!J37</f>
        <v>0.34485865746961997</v>
      </c>
      <c r="K37" s="118">
        <f>RGPS_Valor_Dezembro_Cálculo!K37</f>
        <v>0.35387192898851461</v>
      </c>
      <c r="L37" s="118">
        <f>RGPS_Valor_Dezembro_Cálculo!L37</f>
        <v>0.34480228954008957</v>
      </c>
      <c r="M37" s="118">
        <f>RGPS_Valor_Dezembro_Cálculo!M37</f>
        <v>0.33316738741556162</v>
      </c>
      <c r="N37" s="118">
        <f>RGPS_Valor_Dezembro_Cálculo!N37</f>
        <v>0.35640798239369714</v>
      </c>
      <c r="O37" s="118">
        <f>RGPS_Valor_Dezembro_Cálculo!O37</f>
        <v>0.35140909652941127</v>
      </c>
      <c r="P37" s="118">
        <f>RGPS_Valor_Dezembro_Cálculo!P37</f>
        <v>0.34537162805992616</v>
      </c>
      <c r="Q37" s="119">
        <f>RGPS_Valor_Dezembro_Cálculo!Q37</f>
        <v>0.97118497672233384</v>
      </c>
      <c r="R37" s="120">
        <f>RGPS_Valor_Dezembro_Cálculo!R37</f>
        <v>0.96912178035320551</v>
      </c>
      <c r="S37" s="120">
        <f>RGPS_Valor_Dezembro_Cálculo!S37</f>
        <v>0.96974783609303017</v>
      </c>
      <c r="T37" s="120">
        <f>RGPS_Valor_Dezembro_Cálculo!T37</f>
        <v>0.97443099940607047</v>
      </c>
      <c r="U37" s="120">
        <f>RGPS_Valor_Dezembro_Cálculo!U37</f>
        <v>0.9787071264785947</v>
      </c>
      <c r="V37" s="120">
        <f>RGPS_Valor_Dezembro_Cálculo!V37</f>
        <v>0.98059071288396726</v>
      </c>
      <c r="W37" s="120">
        <f>RGPS_Valor_Dezembro_Cálculo!W37</f>
        <v>0.981663913115709</v>
      </c>
      <c r="X37" s="120">
        <f>RGPS_Valor_Dezembro_Cálculo!X37</f>
        <v>0.98328257559252752</v>
      </c>
      <c r="Y37" s="120">
        <f>RGPS_Valor_Dezembro_Cálculo!Y37</f>
        <v>0.98306241262575611</v>
      </c>
      <c r="Z37" s="120">
        <f>RGPS_Valor_Dezembro_Cálculo!Z37</f>
        <v>0.98301421216296148</v>
      </c>
      <c r="AA37" s="120">
        <f>RGPS_Valor_Dezembro_Cálculo!AA37</f>
        <v>0.98575159781990918</v>
      </c>
      <c r="AB37" s="120">
        <f>RGPS_Valor_Dezembro_Cálculo!AB37</f>
        <v>0.98604007300186625</v>
      </c>
      <c r="AC37" s="120">
        <f>RGPS_Valor_Dezembro_Cálculo!AC37</f>
        <v>0.98625952358731583</v>
      </c>
      <c r="AD37" s="121">
        <f>RGPS_Valor_Dezembro_Cálculo!AD37</f>
        <v>0.44751551245018412</v>
      </c>
      <c r="AE37" s="121">
        <f>RGPS_Valor_Dezembro_Cálculo!AE37</f>
        <v>0.4371398558954841</v>
      </c>
      <c r="AF37" s="121">
        <f>RGPS_Valor_Dezembro_Cálculo!AF37</f>
        <v>0.42702744981145752</v>
      </c>
      <c r="AG37" s="121">
        <f>RGPS_Valor_Dezembro_Cálculo!AG37</f>
        <v>0.44918733731416893</v>
      </c>
      <c r="AH37" s="121">
        <f>RGPS_Valor_Dezembro_Cálculo!AH37</f>
        <v>0.473954623499933</v>
      </c>
      <c r="AI37" s="121">
        <f>RGPS_Valor_Dezembro_Cálculo!AI37</f>
        <v>0.48237227965671609</v>
      </c>
      <c r="AJ37" s="121">
        <f>RGPS_Valor_Dezembro_Cálculo!AJ37</f>
        <v>0.48568751044955277</v>
      </c>
      <c r="AK37" s="121">
        <f>RGPS_Valor_Dezembro_Cálculo!AK37</f>
        <v>0.49524677587985605</v>
      </c>
      <c r="AL37" s="121">
        <f>RGPS_Valor_Dezembro_Cálculo!AL37</f>
        <v>0.48778292364040254</v>
      </c>
      <c r="AM37" s="121">
        <f>RGPS_Valor_Dezembro_Cálculo!AM37</f>
        <v>0.47726992538212543</v>
      </c>
      <c r="AN37" s="121">
        <f>RGPS_Valor_Dezembro_Cálculo!AN37</f>
        <v>0.49964218523559573</v>
      </c>
      <c r="AO37" s="121">
        <f>RGPS_Valor_Dezembro_Cálculo!AO37</f>
        <v>0.49566663321802168</v>
      </c>
      <c r="AP37" s="121">
        <f>RGPS_Valor_Dezembro_Cálculo!AP37</f>
        <v>0.49566663321802168</v>
      </c>
    </row>
    <row r="38" spans="2:42">
      <c r="B38" s="106"/>
      <c r="C38" s="37" t="s">
        <v>40</v>
      </c>
      <c r="D38" s="117">
        <f>RGPS_Valor_Dezembro_Cálculo!D38</f>
        <v>0.68721641074643447</v>
      </c>
      <c r="E38" s="118">
        <f>RGPS_Valor_Dezembro_Cálculo!E38</f>
        <v>0.69911118007238904</v>
      </c>
      <c r="F38" s="118">
        <f>RGPS_Valor_Dezembro_Cálculo!F38</f>
        <v>0.70921147879263791</v>
      </c>
      <c r="G38" s="118">
        <f>RGPS_Valor_Dezembro_Cálculo!G38</f>
        <v>0.68877301846391537</v>
      </c>
      <c r="H38" s="118">
        <f>RGPS_Valor_Dezembro_Cálculo!H38</f>
        <v>0.6655523659086886</v>
      </c>
      <c r="I38" s="118">
        <f>RGPS_Valor_Dezembro_Cálculo!I38</f>
        <v>0.65743348302265137</v>
      </c>
      <c r="J38" s="118">
        <f>RGPS_Valor_Dezembro_Cálculo!J38</f>
        <v>0.65514134253038003</v>
      </c>
      <c r="K38" s="118">
        <f>RGPS_Valor_Dezembro_Cálculo!K38</f>
        <v>0.64612807101148539</v>
      </c>
      <c r="L38" s="118">
        <f>RGPS_Valor_Dezembro_Cálculo!L38</f>
        <v>0.65519771045991049</v>
      </c>
      <c r="M38" s="118">
        <f>RGPS_Valor_Dezembro_Cálculo!M38</f>
        <v>0.66683261258443838</v>
      </c>
      <c r="N38" s="118">
        <f>RGPS_Valor_Dezembro_Cálculo!N38</f>
        <v>0.6435920176063028</v>
      </c>
      <c r="O38" s="118">
        <f>RGPS_Valor_Dezembro_Cálculo!O38</f>
        <v>0.64859090347058879</v>
      </c>
      <c r="P38" s="118">
        <f>RGPS_Valor_Dezembro_Cálculo!P38</f>
        <v>0.65462837194007384</v>
      </c>
      <c r="Q38" s="119">
        <f>RGPS_Valor_Dezembro_Cálculo!Q38</f>
        <v>2.8815023277666163E-2</v>
      </c>
      <c r="R38" s="120">
        <f>RGPS_Valor_Dezembro_Cálculo!R38</f>
        <v>3.0878219646794491E-2</v>
      </c>
      <c r="S38" s="120">
        <f>RGPS_Valor_Dezembro_Cálculo!S38</f>
        <v>3.0252163906969831E-2</v>
      </c>
      <c r="T38" s="120">
        <f>RGPS_Valor_Dezembro_Cálculo!T38</f>
        <v>2.5569000593929525E-2</v>
      </c>
      <c r="U38" s="120">
        <f>RGPS_Valor_Dezembro_Cálculo!U38</f>
        <v>2.1292873521405298E-2</v>
      </c>
      <c r="V38" s="120">
        <f>RGPS_Valor_Dezembro_Cálculo!V38</f>
        <v>1.9409287116032736E-2</v>
      </c>
      <c r="W38" s="120">
        <f>RGPS_Valor_Dezembro_Cálculo!W38</f>
        <v>1.8336086884291003E-2</v>
      </c>
      <c r="X38" s="120">
        <f>RGPS_Valor_Dezembro_Cálculo!X38</f>
        <v>1.6717424407472481E-2</v>
      </c>
      <c r="Y38" s="120">
        <f>RGPS_Valor_Dezembro_Cálculo!Y38</f>
        <v>1.693758737424389E-2</v>
      </c>
      <c r="Z38" s="120">
        <f>RGPS_Valor_Dezembro_Cálculo!Z38</f>
        <v>1.6985787837038524E-2</v>
      </c>
      <c r="AA38" s="120">
        <f>RGPS_Valor_Dezembro_Cálculo!AA38</f>
        <v>1.4248402180090824E-2</v>
      </c>
      <c r="AB38" s="120">
        <f>RGPS_Valor_Dezembro_Cálculo!AB38</f>
        <v>1.3959926998133754E-2</v>
      </c>
      <c r="AC38" s="120">
        <f>RGPS_Valor_Dezembro_Cálculo!AC38</f>
        <v>1.3740476412684166E-2</v>
      </c>
      <c r="AD38" s="121">
        <f>RGPS_Valor_Dezembro_Cálculo!AD38</f>
        <v>0.55248448754981583</v>
      </c>
      <c r="AE38" s="121">
        <f>RGPS_Valor_Dezembro_Cálculo!AE38</f>
        <v>0.5628601441045159</v>
      </c>
      <c r="AF38" s="121">
        <f>RGPS_Valor_Dezembro_Cálculo!AF38</f>
        <v>0.57297255018854254</v>
      </c>
      <c r="AG38" s="121">
        <f>RGPS_Valor_Dezembro_Cálculo!AG38</f>
        <v>0.55081266268583107</v>
      </c>
      <c r="AH38" s="121">
        <f>RGPS_Valor_Dezembro_Cálculo!AH38</f>
        <v>0.526045376500067</v>
      </c>
      <c r="AI38" s="121">
        <f>RGPS_Valor_Dezembro_Cálculo!AI38</f>
        <v>0.51762772034328397</v>
      </c>
      <c r="AJ38" s="121">
        <f>RGPS_Valor_Dezembro_Cálculo!AJ38</f>
        <v>0.51431248955044717</v>
      </c>
      <c r="AK38" s="121">
        <f>RGPS_Valor_Dezembro_Cálculo!AK38</f>
        <v>0.50475322412014401</v>
      </c>
      <c r="AL38" s="121">
        <f>RGPS_Valor_Dezembro_Cálculo!AL38</f>
        <v>0.51221707635959746</v>
      </c>
      <c r="AM38" s="121">
        <f>RGPS_Valor_Dezembro_Cálculo!AM38</f>
        <v>0.52273007461787457</v>
      </c>
      <c r="AN38" s="121">
        <f>RGPS_Valor_Dezembro_Cálculo!AN38</f>
        <v>0.50035781476440433</v>
      </c>
      <c r="AO38" s="121">
        <f>RGPS_Valor_Dezembro_Cálculo!AO38</f>
        <v>0.50433336678197827</v>
      </c>
      <c r="AP38" s="121">
        <f>RGPS_Valor_Dezembro_Cálculo!AP38</f>
        <v>0.50433336678197827</v>
      </c>
    </row>
    <row r="39" spans="2:42">
      <c r="B39" s="106" t="s">
        <v>49</v>
      </c>
      <c r="C39" s="37" t="s">
        <v>22</v>
      </c>
      <c r="D39" s="117">
        <f>RGPS_Valor_Dezembro_Cálculo!D39</f>
        <v>8.5456611588489884E-2</v>
      </c>
      <c r="E39" s="118">
        <f>RGPS_Valor_Dezembro_Cálculo!E39</f>
        <v>7.4043945753649018E-2</v>
      </c>
      <c r="F39" s="118">
        <f>RGPS_Valor_Dezembro_Cálculo!F39</f>
        <v>8.6201289164485578E-2</v>
      </c>
      <c r="G39" s="118">
        <f>RGPS_Valor_Dezembro_Cálculo!G39</f>
        <v>0.1002846078407664</v>
      </c>
      <c r="H39" s="118">
        <f>RGPS_Valor_Dezembro_Cálculo!H39</f>
        <v>0.12530860287170037</v>
      </c>
      <c r="I39" s="118">
        <f>RGPS_Valor_Dezembro_Cálculo!I39</f>
        <v>0.13581543325252468</v>
      </c>
      <c r="J39" s="118">
        <f>RGPS_Valor_Dezembro_Cálculo!J39</f>
        <v>0.14566285333913695</v>
      </c>
      <c r="K39" s="118">
        <f>RGPS_Valor_Dezembro_Cálculo!K39</f>
        <v>0.17008856084410268</v>
      </c>
      <c r="L39" s="118">
        <f>RGPS_Valor_Dezembro_Cálculo!L39</f>
        <v>0.17776651125086368</v>
      </c>
      <c r="M39" s="118">
        <f>RGPS_Valor_Dezembro_Cálculo!M39</f>
        <v>0.17961627878968786</v>
      </c>
      <c r="N39" s="118">
        <f>RGPS_Valor_Dezembro_Cálculo!N39</f>
        <v>0.22348017878730012</v>
      </c>
      <c r="O39" s="118">
        <f>RGPS_Valor_Dezembro_Cálculo!O39</f>
        <v>0.22946867635327053</v>
      </c>
      <c r="P39" s="118">
        <f>RGPS_Valor_Dezembro_Cálculo!P39</f>
        <v>0.2343753601064209</v>
      </c>
      <c r="Q39" s="119">
        <f>RGPS_Valor_Dezembro_Cálculo!Q39</f>
        <v>0.7942949246311185</v>
      </c>
      <c r="R39" s="120">
        <f>RGPS_Valor_Dezembro_Cálculo!R39</f>
        <v>0.84564942423722</v>
      </c>
      <c r="S39" s="120">
        <f>RGPS_Valor_Dezembro_Cálculo!S39</f>
        <v>0.87546151724829291</v>
      </c>
      <c r="T39" s="120">
        <f>RGPS_Valor_Dezembro_Cálculo!T39</f>
        <v>0.92087776457632164</v>
      </c>
      <c r="U39" s="120">
        <f>RGPS_Valor_Dezembro_Cálculo!U39</f>
        <v>0.95601139722565742</v>
      </c>
      <c r="V39" s="120">
        <f>RGPS_Valor_Dezembro_Cálculo!V39</f>
        <v>0.97252215741886838</v>
      </c>
      <c r="W39" s="120">
        <f>RGPS_Valor_Dezembro_Cálculo!W39</f>
        <v>0.98484810409648282</v>
      </c>
      <c r="X39" s="120">
        <f>RGPS_Valor_Dezembro_Cálculo!X39</f>
        <v>0.9901289963320159</v>
      </c>
      <c r="Y39" s="120">
        <f>RGPS_Valor_Dezembro_Cálculo!Y39</f>
        <v>0.992779593247196</v>
      </c>
      <c r="Z39" s="120">
        <f>RGPS_Valor_Dezembro_Cálculo!Z39</f>
        <v>0.99375453918849754</v>
      </c>
      <c r="AA39" s="120">
        <f>RGPS_Valor_Dezembro_Cálculo!AA39</f>
        <v>0.99548147833288547</v>
      </c>
      <c r="AB39" s="120">
        <f>RGPS_Valor_Dezembro_Cálculo!AB39</f>
        <v>0.99611787537181562</v>
      </c>
      <c r="AC39" s="120">
        <f>RGPS_Valor_Dezembro_Cálculo!AC39</f>
        <v>0.99676060796708543</v>
      </c>
      <c r="AD39" s="121">
        <f>RGPS_Valor_Dezembro_Cálculo!AD39</f>
        <v>0.1288820769069767</v>
      </c>
      <c r="AE39" s="121">
        <f>RGPS_Valor_Dezembro_Cálculo!AE39</f>
        <v>0.11618884366282613</v>
      </c>
      <c r="AF39" s="121">
        <f>RGPS_Valor_Dezembro_Cálculo!AF39</f>
        <v>0.12472813005506452</v>
      </c>
      <c r="AG39" s="121">
        <f>RGPS_Valor_Dezembro_Cálculo!AG39</f>
        <v>0.13827039911011468</v>
      </c>
      <c r="AH39" s="121">
        <f>RGPS_Valor_Dezembro_Cálculo!AH39</f>
        <v>0.16260078835077962</v>
      </c>
      <c r="AI39" s="121">
        <f>RGPS_Valor_Dezembro_Cálculo!AI39</f>
        <v>0.17678915668090783</v>
      </c>
      <c r="AJ39" s="121">
        <f>RGPS_Valor_Dezembro_Cálculo!AJ39</f>
        <v>0.18993316446736463</v>
      </c>
      <c r="AK39" s="121">
        <f>RGPS_Valor_Dezembro_Cálculo!AK39</f>
        <v>0.21950379708792311</v>
      </c>
      <c r="AL39" s="121">
        <f>RGPS_Valor_Dezembro_Cálculo!AL39</f>
        <v>0.22882057462198507</v>
      </c>
      <c r="AM39" s="121">
        <f>RGPS_Valor_Dezembro_Cálculo!AM39</f>
        <v>0.23236361311236489</v>
      </c>
      <c r="AN39" s="121">
        <f>RGPS_Valor_Dezembro_Cálculo!AN39</f>
        <v>0.27915489904789487</v>
      </c>
      <c r="AO39" s="121">
        <f>RGPS_Valor_Dezembro_Cálculo!AO39</f>
        <v>0.28733799786785647</v>
      </c>
      <c r="AP39" s="121">
        <f>RGPS_Valor_Dezembro_Cálculo!AP39</f>
        <v>0.28733799786785647</v>
      </c>
    </row>
    <row r="40" spans="2:42">
      <c r="B40" s="106"/>
      <c r="C40" s="37" t="s">
        <v>40</v>
      </c>
      <c r="D40" s="117">
        <f>RGPS_Valor_Dezembro_Cálculo!D40</f>
        <v>0.91454338841151017</v>
      </c>
      <c r="E40" s="118">
        <f>RGPS_Valor_Dezembro_Cálculo!E40</f>
        <v>0.92595605424635097</v>
      </c>
      <c r="F40" s="118">
        <f>RGPS_Valor_Dezembro_Cálculo!F40</f>
        <v>0.91379871083551445</v>
      </c>
      <c r="G40" s="118">
        <f>RGPS_Valor_Dezembro_Cálculo!G40</f>
        <v>0.89971539215923357</v>
      </c>
      <c r="H40" s="118">
        <f>RGPS_Valor_Dezembro_Cálculo!H40</f>
        <v>0.87469139712829969</v>
      </c>
      <c r="I40" s="118">
        <f>RGPS_Valor_Dezembro_Cálculo!I40</f>
        <v>0.86418456674747535</v>
      </c>
      <c r="J40" s="118">
        <f>RGPS_Valor_Dezembro_Cálculo!J40</f>
        <v>0.85433714666086302</v>
      </c>
      <c r="K40" s="118">
        <f>RGPS_Valor_Dezembro_Cálculo!K40</f>
        <v>0.82991143915589727</v>
      </c>
      <c r="L40" s="118">
        <f>RGPS_Valor_Dezembro_Cálculo!L40</f>
        <v>0.82223348874913627</v>
      </c>
      <c r="M40" s="118">
        <f>RGPS_Valor_Dezembro_Cálculo!M40</f>
        <v>0.82038372121031211</v>
      </c>
      <c r="N40" s="118">
        <f>RGPS_Valor_Dezembro_Cálculo!N40</f>
        <v>0.77651982121269991</v>
      </c>
      <c r="O40" s="118">
        <f>RGPS_Valor_Dezembro_Cálculo!O40</f>
        <v>0.77053132364672949</v>
      </c>
      <c r="P40" s="118">
        <f>RGPS_Valor_Dezembro_Cálculo!P40</f>
        <v>0.7656246398935791</v>
      </c>
      <c r="Q40" s="119">
        <f>RGPS_Valor_Dezembro_Cálculo!Q40</f>
        <v>0.2057050753688815</v>
      </c>
      <c r="R40" s="120">
        <f>RGPS_Valor_Dezembro_Cálculo!R40</f>
        <v>0.15435057576278</v>
      </c>
      <c r="S40" s="120">
        <f>RGPS_Valor_Dezembro_Cálculo!S40</f>
        <v>0.12453848275170709</v>
      </c>
      <c r="T40" s="120">
        <f>RGPS_Valor_Dezembro_Cálculo!T40</f>
        <v>7.9122235423678355E-2</v>
      </c>
      <c r="U40" s="120">
        <f>RGPS_Valor_Dezembro_Cálculo!U40</f>
        <v>4.3988602774342578E-2</v>
      </c>
      <c r="V40" s="120">
        <f>RGPS_Valor_Dezembro_Cálculo!V40</f>
        <v>2.7477842581131617E-2</v>
      </c>
      <c r="W40" s="120">
        <f>RGPS_Valor_Dezembro_Cálculo!W40</f>
        <v>1.5151895903517176E-2</v>
      </c>
      <c r="X40" s="120">
        <f>RGPS_Valor_Dezembro_Cálculo!X40</f>
        <v>9.8710036679841018E-3</v>
      </c>
      <c r="Y40" s="120">
        <f>RGPS_Valor_Dezembro_Cálculo!Y40</f>
        <v>7.2204067528039984E-3</v>
      </c>
      <c r="Z40" s="120">
        <f>RGPS_Valor_Dezembro_Cálculo!Z40</f>
        <v>6.2454608115024568E-3</v>
      </c>
      <c r="AA40" s="120">
        <f>RGPS_Valor_Dezembro_Cálculo!AA40</f>
        <v>4.5185216671145279E-3</v>
      </c>
      <c r="AB40" s="120">
        <f>RGPS_Valor_Dezembro_Cálculo!AB40</f>
        <v>3.8821246281843802E-3</v>
      </c>
      <c r="AC40" s="120">
        <f>RGPS_Valor_Dezembro_Cálculo!AC40</f>
        <v>3.2393920329145676E-3</v>
      </c>
      <c r="AD40" s="121">
        <f>RGPS_Valor_Dezembro_Cálculo!AD40</f>
        <v>0.87111792309302327</v>
      </c>
      <c r="AE40" s="121">
        <f>RGPS_Valor_Dezembro_Cálculo!AE40</f>
        <v>0.88381115633717389</v>
      </c>
      <c r="AF40" s="121">
        <f>RGPS_Valor_Dezembro_Cálculo!AF40</f>
        <v>0.87527186994493544</v>
      </c>
      <c r="AG40" s="121">
        <f>RGPS_Valor_Dezembro_Cálculo!AG40</f>
        <v>0.86172960088988537</v>
      </c>
      <c r="AH40" s="121">
        <f>RGPS_Valor_Dezembro_Cálculo!AH40</f>
        <v>0.83739921164922038</v>
      </c>
      <c r="AI40" s="121">
        <f>RGPS_Valor_Dezembro_Cálculo!AI40</f>
        <v>0.82321084331909211</v>
      </c>
      <c r="AJ40" s="121">
        <f>RGPS_Valor_Dezembro_Cálculo!AJ40</f>
        <v>0.81006683553263537</v>
      </c>
      <c r="AK40" s="121">
        <f>RGPS_Valor_Dezembro_Cálculo!AK40</f>
        <v>0.78049620291207689</v>
      </c>
      <c r="AL40" s="121">
        <f>RGPS_Valor_Dezembro_Cálculo!AL40</f>
        <v>0.77117942537801487</v>
      </c>
      <c r="AM40" s="121">
        <f>RGPS_Valor_Dezembro_Cálculo!AM40</f>
        <v>0.76763638688763514</v>
      </c>
      <c r="AN40" s="121">
        <f>RGPS_Valor_Dezembro_Cálculo!AN40</f>
        <v>0.72084510095210508</v>
      </c>
      <c r="AO40" s="121">
        <f>RGPS_Valor_Dezembro_Cálculo!AO40</f>
        <v>0.71266200213214348</v>
      </c>
      <c r="AP40" s="121">
        <f>RGPS_Valor_Dezembro_Cálculo!AP40</f>
        <v>0.71266200213214348</v>
      </c>
    </row>
    <row r="41" spans="2:42">
      <c r="B41" s="106" t="s">
        <v>50</v>
      </c>
      <c r="C41" s="37" t="s">
        <v>22</v>
      </c>
      <c r="D41" s="117">
        <f>RGPS_Valor_Dezembro_Cálculo!D41</f>
        <v>0.34043465603980938</v>
      </c>
      <c r="E41" s="118">
        <f>RGPS_Valor_Dezembro_Cálculo!E41</f>
        <v>0.32873087137255819</v>
      </c>
      <c r="F41" s="118">
        <f>RGPS_Valor_Dezembro_Cálculo!F41</f>
        <v>0.33018248373578013</v>
      </c>
      <c r="G41" s="118">
        <f>RGPS_Valor_Dezembro_Cálculo!G41</f>
        <v>0.35208491547371112</v>
      </c>
      <c r="H41" s="118">
        <f>RGPS_Valor_Dezembro_Cálculo!H41</f>
        <v>0.38748883934876338</v>
      </c>
      <c r="I41" s="118">
        <f>RGPS_Valor_Dezembro_Cálculo!I41</f>
        <v>0.39784983094690146</v>
      </c>
      <c r="J41" s="118">
        <f>RGPS_Valor_Dezembro_Cálculo!J41</f>
        <v>0.40559622844615817</v>
      </c>
      <c r="K41" s="118">
        <f>RGPS_Valor_Dezembro_Cálculo!K41</f>
        <v>0.41995572560322852</v>
      </c>
      <c r="L41" s="118">
        <f>RGPS_Valor_Dezembro_Cálculo!L41</f>
        <v>0.42089273209241229</v>
      </c>
      <c r="M41" s="118">
        <f>RGPS_Valor_Dezembro_Cálculo!M41</f>
        <v>0.41510099622456542</v>
      </c>
      <c r="N41" s="118">
        <f>RGPS_Valor_Dezembro_Cálculo!N41</f>
        <v>0.44804509763657824</v>
      </c>
      <c r="O41" s="118">
        <f>RGPS_Valor_Dezembro_Cálculo!O41</f>
        <v>0.45200234652930743</v>
      </c>
      <c r="P41" s="118">
        <f>RGPS_Valor_Dezembro_Cálculo!P41</f>
        <v>0.45802063031633566</v>
      </c>
      <c r="Q41" s="119">
        <f>RGPS_Valor_Dezembro_Cálculo!Q41</f>
        <v>0.86109432202687286</v>
      </c>
      <c r="R41" s="120">
        <f>RGPS_Valor_Dezembro_Cálculo!R41</f>
        <v>0.86631462872316289</v>
      </c>
      <c r="S41" s="120">
        <f>RGPS_Valor_Dezembro_Cálculo!S41</f>
        <v>0.88112329422140967</v>
      </c>
      <c r="T41" s="120">
        <f>RGPS_Valor_Dezembro_Cálculo!T41</f>
        <v>0.907307234620783</v>
      </c>
      <c r="U41" s="120">
        <f>RGPS_Valor_Dezembro_Cálculo!U41</f>
        <v>0.9410591260420228</v>
      </c>
      <c r="V41" s="120">
        <f>RGPS_Valor_Dezembro_Cálculo!V41</f>
        <v>0.95481413790254488</v>
      </c>
      <c r="W41" s="120">
        <f>RGPS_Valor_Dezembro_Cálculo!W41</f>
        <v>0.96337996738080012</v>
      </c>
      <c r="X41" s="120">
        <f>RGPS_Valor_Dezembro_Cálculo!X41</f>
        <v>0.9718953726489965</v>
      </c>
      <c r="Y41" s="120">
        <f>RGPS_Valor_Dezembro_Cálculo!Y41</f>
        <v>0.97487803487956293</v>
      </c>
      <c r="Z41" s="120">
        <f>RGPS_Valor_Dezembro_Cálculo!Z41</f>
        <v>0.97695661808814593</v>
      </c>
      <c r="AA41" s="120">
        <f>RGPS_Valor_Dezembro_Cálculo!AA41</f>
        <v>0.98105755313577381</v>
      </c>
      <c r="AB41" s="120">
        <f>RGPS_Valor_Dezembro_Cálculo!AB41</f>
        <v>0.98296635011746514</v>
      </c>
      <c r="AC41" s="120">
        <f>RGPS_Valor_Dezembro_Cálculo!AC41</f>
        <v>0.98431898587471189</v>
      </c>
      <c r="AD41" s="121">
        <f>RGPS_Valor_Dezembro_Cálculo!AD41</f>
        <v>0.34740595882238234</v>
      </c>
      <c r="AE41" s="121">
        <f>RGPS_Valor_Dezembro_Cálculo!AE41</f>
        <v>0.33651553436828746</v>
      </c>
      <c r="AF41" s="121">
        <f>RGPS_Valor_Dezembro_Cálculo!AF41</f>
        <v>0.33892426636245682</v>
      </c>
      <c r="AG41" s="121">
        <f>RGPS_Valor_Dezembro_Cálculo!AG41</f>
        <v>0.36206874225562297</v>
      </c>
      <c r="AH41" s="121">
        <f>RGPS_Valor_Dezembro_Cálculo!AH41</f>
        <v>0.39945215301174974</v>
      </c>
      <c r="AI41" s="121">
        <f>RGPS_Valor_Dezembro_Cálculo!AI41</f>
        <v>0.4109491141285489</v>
      </c>
      <c r="AJ41" s="121">
        <f>RGPS_Valor_Dezembro_Cálculo!AJ41</f>
        <v>0.41975803203496254</v>
      </c>
      <c r="AK41" s="121">
        <f>RGPS_Valor_Dezembro_Cálculo!AK41</f>
        <v>0.43515260604191347</v>
      </c>
      <c r="AL41" s="121">
        <f>RGPS_Valor_Dezembro_Cálculo!AL41</f>
        <v>0.43681988660986254</v>
      </c>
      <c r="AM41" s="121">
        <f>RGPS_Valor_Dezembro_Cálculo!AM41</f>
        <v>0.43165939808173753</v>
      </c>
      <c r="AN41" s="121">
        <f>RGPS_Valor_Dezembro_Cálculo!AN41</f>
        <v>0.46486506702176666</v>
      </c>
      <c r="AO41" s="121">
        <f>RGPS_Valor_Dezembro_Cálculo!AO41</f>
        <v>0.46912714389070209</v>
      </c>
      <c r="AP41" s="121">
        <f>RGPS_Valor_Dezembro_Cálculo!AP41</f>
        <v>0.46912714389070209</v>
      </c>
    </row>
    <row r="42" spans="2:42">
      <c r="B42" s="106"/>
      <c r="C42" s="37" t="s">
        <v>40</v>
      </c>
      <c r="D42" s="117">
        <f>RGPS_Valor_Dezembro_Cálculo!D42</f>
        <v>0.65956534396019062</v>
      </c>
      <c r="E42" s="118">
        <f>RGPS_Valor_Dezembro_Cálculo!E42</f>
        <v>0.67126912862744181</v>
      </c>
      <c r="F42" s="118">
        <f>RGPS_Valor_Dezembro_Cálculo!F42</f>
        <v>0.66981751626421993</v>
      </c>
      <c r="G42" s="118">
        <f>RGPS_Valor_Dezembro_Cálculo!G42</f>
        <v>0.64791508452628888</v>
      </c>
      <c r="H42" s="118">
        <f>RGPS_Valor_Dezembro_Cálculo!H42</f>
        <v>0.61251116065123656</v>
      </c>
      <c r="I42" s="118">
        <f>RGPS_Valor_Dezembro_Cálculo!I42</f>
        <v>0.60215016905309859</v>
      </c>
      <c r="J42" s="118">
        <f>RGPS_Valor_Dezembro_Cálculo!J42</f>
        <v>0.59440377155384183</v>
      </c>
      <c r="K42" s="118">
        <f>RGPS_Valor_Dezembro_Cálculo!K42</f>
        <v>0.58004427439677153</v>
      </c>
      <c r="L42" s="118">
        <f>RGPS_Valor_Dezembro_Cálculo!L42</f>
        <v>0.57910726790758771</v>
      </c>
      <c r="M42" s="118">
        <f>RGPS_Valor_Dezembro_Cálculo!M42</f>
        <v>0.58489900377543458</v>
      </c>
      <c r="N42" s="118">
        <f>RGPS_Valor_Dezembro_Cálculo!N42</f>
        <v>0.55195490236342182</v>
      </c>
      <c r="O42" s="118">
        <f>RGPS_Valor_Dezembro_Cálculo!O42</f>
        <v>0.54799765347069251</v>
      </c>
      <c r="P42" s="118">
        <f>RGPS_Valor_Dezembro_Cálculo!P42</f>
        <v>0.54197936968366434</v>
      </c>
      <c r="Q42" s="119">
        <f>RGPS_Valor_Dezembro_Cálculo!Q42</f>
        <v>0.13890567797312714</v>
      </c>
      <c r="R42" s="120">
        <f>RGPS_Valor_Dezembro_Cálculo!R42</f>
        <v>0.13368537127683711</v>
      </c>
      <c r="S42" s="120">
        <f>RGPS_Valor_Dezembro_Cálculo!S42</f>
        <v>0.11887670577859033</v>
      </c>
      <c r="T42" s="120">
        <f>RGPS_Valor_Dezembro_Cálculo!T42</f>
        <v>9.2692765379217001E-2</v>
      </c>
      <c r="U42" s="120">
        <f>RGPS_Valor_Dezembro_Cálculo!U42</f>
        <v>5.8940873957977202E-2</v>
      </c>
      <c r="V42" s="120">
        <f>RGPS_Valor_Dezembro_Cálculo!V42</f>
        <v>4.5185862097455121E-2</v>
      </c>
      <c r="W42" s="120">
        <f>RGPS_Valor_Dezembro_Cálculo!W42</f>
        <v>3.6620032619199883E-2</v>
      </c>
      <c r="X42" s="120">
        <f>RGPS_Valor_Dezembro_Cálculo!X42</f>
        <v>2.8104627351003497E-2</v>
      </c>
      <c r="Y42" s="120">
        <f>RGPS_Valor_Dezembro_Cálculo!Y42</f>
        <v>2.5121965120437073E-2</v>
      </c>
      <c r="Z42" s="120">
        <f>RGPS_Valor_Dezembro_Cálculo!Z42</f>
        <v>2.3043381911854066E-2</v>
      </c>
      <c r="AA42" s="120">
        <f>RGPS_Valor_Dezembro_Cálculo!AA42</f>
        <v>1.8942446864226192E-2</v>
      </c>
      <c r="AB42" s="120">
        <f>RGPS_Valor_Dezembro_Cálculo!AB42</f>
        <v>1.7033649882534863E-2</v>
      </c>
      <c r="AC42" s="120">
        <f>RGPS_Valor_Dezembro_Cálculo!AC42</f>
        <v>1.5681014125288106E-2</v>
      </c>
      <c r="AD42" s="121">
        <f>RGPS_Valor_Dezembro_Cálculo!AD42</f>
        <v>0.65259404117761766</v>
      </c>
      <c r="AE42" s="121">
        <f>RGPS_Valor_Dezembro_Cálculo!AE42</f>
        <v>0.66348446563171248</v>
      </c>
      <c r="AF42" s="121">
        <f>RGPS_Valor_Dezembro_Cálculo!AF42</f>
        <v>0.66107573363754324</v>
      </c>
      <c r="AG42" s="121">
        <f>RGPS_Valor_Dezembro_Cálculo!AG42</f>
        <v>0.63793125774437698</v>
      </c>
      <c r="AH42" s="121">
        <f>RGPS_Valor_Dezembro_Cálculo!AH42</f>
        <v>0.60054784698825026</v>
      </c>
      <c r="AI42" s="121">
        <f>RGPS_Valor_Dezembro_Cálculo!AI42</f>
        <v>0.58905088587145116</v>
      </c>
      <c r="AJ42" s="121">
        <f>RGPS_Valor_Dezembro_Cálculo!AJ42</f>
        <v>0.58024196796503746</v>
      </c>
      <c r="AK42" s="121">
        <f>RGPS_Valor_Dezembro_Cálculo!AK42</f>
        <v>0.56484739395808647</v>
      </c>
      <c r="AL42" s="121">
        <f>RGPS_Valor_Dezembro_Cálculo!AL42</f>
        <v>0.56318011339013752</v>
      </c>
      <c r="AM42" s="121">
        <f>RGPS_Valor_Dezembro_Cálculo!AM42</f>
        <v>0.56834060191826241</v>
      </c>
      <c r="AN42" s="121">
        <f>RGPS_Valor_Dezembro_Cálculo!AN42</f>
        <v>0.53513493297823334</v>
      </c>
      <c r="AO42" s="121">
        <f>RGPS_Valor_Dezembro_Cálculo!AO42</f>
        <v>0.53087285610929791</v>
      </c>
      <c r="AP42" s="121">
        <f>RGPS_Valor_Dezembro_Cálculo!AP42</f>
        <v>0.53087285610929791</v>
      </c>
    </row>
    <row r="43" spans="2:42" ht="17.25" customHeight="1">
      <c r="B43" s="106" t="s">
        <v>25</v>
      </c>
      <c r="C43" s="37" t="s">
        <v>22</v>
      </c>
      <c r="D43" s="117">
        <f>RGPS_Valor_Dezembro_Cálculo!D43</f>
        <v>0.15221706514860764</v>
      </c>
      <c r="E43" s="118">
        <f>RGPS_Valor_Dezembro_Cálculo!E43</f>
        <v>0.39257227205390038</v>
      </c>
      <c r="F43" s="118">
        <f>RGPS_Valor_Dezembro_Cálculo!F43</f>
        <v>0.50089995519153863</v>
      </c>
      <c r="G43" s="118">
        <f>RGPS_Valor_Dezembro_Cálculo!G43</f>
        <v>0.52107117395906266</v>
      </c>
      <c r="H43" s="118">
        <f>RGPS_Valor_Dezembro_Cálculo!H43</f>
        <v>0.55628847781297641</v>
      </c>
      <c r="I43" s="118">
        <f>RGPS_Valor_Dezembro_Cálculo!I43</f>
        <v>0.53210478873103895</v>
      </c>
      <c r="J43" s="118">
        <f>RGPS_Valor_Dezembro_Cálculo!J43</f>
        <v>0.52104432119762634</v>
      </c>
      <c r="K43" s="118">
        <f>RGPS_Valor_Dezembro_Cálculo!K43</f>
        <v>0.52811748817734105</v>
      </c>
      <c r="L43" s="118">
        <f>RGPS_Valor_Dezembro_Cálculo!L43</f>
        <v>0.51790171669531049</v>
      </c>
      <c r="M43" s="118">
        <f>RGPS_Valor_Dezembro_Cálculo!M43</f>
        <v>0.45670968572863235</v>
      </c>
      <c r="N43" s="118">
        <f>RGPS_Valor_Dezembro_Cálculo!N43</f>
        <v>0.52524217594359823</v>
      </c>
      <c r="O43" s="118">
        <f>RGPS_Valor_Dezembro_Cálculo!O43</f>
        <v>0.61903158935604352</v>
      </c>
      <c r="P43" s="118">
        <f>RGPS_Valor_Dezembro_Cálculo!P43</f>
        <v>0.61903158935604352</v>
      </c>
      <c r="Q43" s="119">
        <f>RGPS_Valor_Dezembro_Cálculo!Q43</f>
        <v>0.9622236134487907</v>
      </c>
      <c r="R43" s="120">
        <f>RGPS_Valor_Dezembro_Cálculo!R43</f>
        <v>0.97061848608864165</v>
      </c>
      <c r="S43" s="120">
        <f>RGPS_Valor_Dezembro_Cálculo!S43</f>
        <v>0.96849305257379181</v>
      </c>
      <c r="T43" s="120">
        <f>RGPS_Valor_Dezembro_Cálculo!T43</f>
        <v>0.96323806833116676</v>
      </c>
      <c r="U43" s="120">
        <f>RGPS_Valor_Dezembro_Cálculo!U43</f>
        <v>0.97010216659462079</v>
      </c>
      <c r="V43" s="120">
        <f>RGPS_Valor_Dezembro_Cálculo!V43</f>
        <v>0.96845795855260208</v>
      </c>
      <c r="W43" s="120">
        <f>RGPS_Valor_Dezembro_Cálculo!W43</f>
        <v>0.97513534228110166</v>
      </c>
      <c r="X43" s="120">
        <f>RGPS_Valor_Dezembro_Cálculo!X43</f>
        <v>0.97776864764111371</v>
      </c>
      <c r="Y43" s="120">
        <f>RGPS_Valor_Dezembro_Cálculo!Y43</f>
        <v>0.97494349537056857</v>
      </c>
      <c r="Z43" s="120">
        <f>RGPS_Valor_Dezembro_Cálculo!Z43</f>
        <v>0.97323675344810301</v>
      </c>
      <c r="AA43" s="120">
        <f>RGPS_Valor_Dezembro_Cálculo!AA43</f>
        <v>0.980159417680874</v>
      </c>
      <c r="AB43" s="120">
        <f>RGPS_Valor_Dezembro_Cálculo!AB43</f>
        <v>0.98388621561323175</v>
      </c>
      <c r="AC43" s="120">
        <f>RGPS_Valor_Dezembro_Cálculo!AC43</f>
        <v>0.98388621561323186</v>
      </c>
      <c r="AD43" s="121">
        <f>RGPS_Valor_Dezembro_Cálculo!AD43</f>
        <v>0.20965653568578527</v>
      </c>
      <c r="AE43" s="121">
        <f>RGPS_Valor_Dezembro_Cálculo!AE43</f>
        <v>0.48119237134132431</v>
      </c>
      <c r="AF43" s="121">
        <f>RGPS_Valor_Dezembro_Cálculo!AF43</f>
        <v>0.58633452779026929</v>
      </c>
      <c r="AG43" s="121">
        <f>RGPS_Valor_Dezembro_Cálculo!AG43</f>
        <v>0.5984899303539446</v>
      </c>
      <c r="AH43" s="121">
        <f>RGPS_Valor_Dezembro_Cálculo!AH43</f>
        <v>0.62948394563151455</v>
      </c>
      <c r="AI43" s="121">
        <f>RGPS_Valor_Dezembro_Cálculo!AI43</f>
        <v>0.60013818343996561</v>
      </c>
      <c r="AJ43" s="121">
        <f>RGPS_Valor_Dezembro_Cálculo!AJ43</f>
        <v>0.59444979612619897</v>
      </c>
      <c r="AK43" s="121">
        <f>RGPS_Valor_Dezembro_Cálculo!AK43</f>
        <v>0.59534986670341561</v>
      </c>
      <c r="AL43" s="121">
        <f>RGPS_Valor_Dezembro_Cálculo!AL43</f>
        <v>0.58085365313821569</v>
      </c>
      <c r="AM43" s="121">
        <f>RGPS_Valor_Dezembro_Cálculo!AM43</f>
        <v>0.51679371741142399</v>
      </c>
      <c r="AN43" s="121">
        <f>RGPS_Valor_Dezembro_Cálculo!AN43</f>
        <v>0.57416430472432178</v>
      </c>
      <c r="AO43" s="121">
        <f>RGPS_Valor_Dezembro_Cálculo!AO43</f>
        <v>0.65914053070430523</v>
      </c>
      <c r="AP43" s="121">
        <f>RGPS_Valor_Dezembro_Cálculo!AP43</f>
        <v>0.65914053070430523</v>
      </c>
    </row>
    <row r="44" spans="2:42" ht="17.25" customHeight="1">
      <c r="B44" s="106"/>
      <c r="C44" s="37" t="s">
        <v>40</v>
      </c>
      <c r="D44" s="117">
        <f>RGPS_Valor_Dezembro_Cálculo!D44</f>
        <v>0.84778293485139233</v>
      </c>
      <c r="E44" s="118">
        <f>RGPS_Valor_Dezembro_Cálculo!E44</f>
        <v>0.60742772794609956</v>
      </c>
      <c r="F44" s="118">
        <f>RGPS_Valor_Dezembro_Cálculo!F44</f>
        <v>0.49910004480846137</v>
      </c>
      <c r="G44" s="118">
        <f>RGPS_Valor_Dezembro_Cálculo!G44</f>
        <v>0.47892882604093734</v>
      </c>
      <c r="H44" s="118">
        <f>RGPS_Valor_Dezembro_Cálculo!H44</f>
        <v>0.44371152218702359</v>
      </c>
      <c r="I44" s="118">
        <f>RGPS_Valor_Dezembro_Cálculo!I44</f>
        <v>0.46789521126896105</v>
      </c>
      <c r="J44" s="118">
        <f>RGPS_Valor_Dezembro_Cálculo!J44</f>
        <v>0.47895567880237366</v>
      </c>
      <c r="K44" s="118">
        <f>RGPS_Valor_Dezembro_Cálculo!K44</f>
        <v>0.47188251182265895</v>
      </c>
      <c r="L44" s="118">
        <f>RGPS_Valor_Dezembro_Cálculo!L44</f>
        <v>0.48209828330468951</v>
      </c>
      <c r="M44" s="118">
        <f>RGPS_Valor_Dezembro_Cálculo!M44</f>
        <v>0.54329031427136765</v>
      </c>
      <c r="N44" s="118">
        <f>RGPS_Valor_Dezembro_Cálculo!N44</f>
        <v>0.47475782405640177</v>
      </c>
      <c r="O44" s="118">
        <f>RGPS_Valor_Dezembro_Cálculo!O44</f>
        <v>0.38096841064395648</v>
      </c>
      <c r="P44" s="118">
        <f>RGPS_Valor_Dezembro_Cálculo!P44</f>
        <v>0.38096841064395648</v>
      </c>
      <c r="Q44" s="119">
        <f>RGPS_Valor_Dezembro_Cálculo!Q44</f>
        <v>3.7776386551209296E-2</v>
      </c>
      <c r="R44" s="120">
        <f>RGPS_Valor_Dezembro_Cálculo!R44</f>
        <v>2.9381513911358348E-2</v>
      </c>
      <c r="S44" s="120">
        <f>RGPS_Valor_Dezembro_Cálculo!S44</f>
        <v>3.1506947426208187E-2</v>
      </c>
      <c r="T44" s="120">
        <f>RGPS_Valor_Dezembro_Cálculo!T44</f>
        <v>3.6761931668833236E-2</v>
      </c>
      <c r="U44" s="120">
        <f>RGPS_Valor_Dezembro_Cálculo!U44</f>
        <v>2.9897833405379215E-2</v>
      </c>
      <c r="V44" s="120">
        <f>RGPS_Valor_Dezembro_Cálculo!V44</f>
        <v>3.1542041447397917E-2</v>
      </c>
      <c r="W44" s="120">
        <f>RGPS_Valor_Dezembro_Cálculo!W44</f>
        <v>2.4864657718898342E-2</v>
      </c>
      <c r="X44" s="120">
        <f>RGPS_Valor_Dezembro_Cálculo!X44</f>
        <v>2.2231352358886292E-2</v>
      </c>
      <c r="Y44" s="120">
        <f>RGPS_Valor_Dezembro_Cálculo!Y44</f>
        <v>2.5056504629431431E-2</v>
      </c>
      <c r="Z44" s="120">
        <f>RGPS_Valor_Dezembro_Cálculo!Z44</f>
        <v>2.6763246551896991E-2</v>
      </c>
      <c r="AA44" s="120">
        <f>RGPS_Valor_Dezembro_Cálculo!AA44</f>
        <v>1.9840582319125999E-2</v>
      </c>
      <c r="AB44" s="120">
        <f>RGPS_Valor_Dezembro_Cálculo!AB44</f>
        <v>1.6113784386768248E-2</v>
      </c>
      <c r="AC44" s="120">
        <f>RGPS_Valor_Dezembro_Cálculo!AC44</f>
        <v>1.6113784386768137E-2</v>
      </c>
      <c r="AD44" s="121">
        <f>RGPS_Valor_Dezembro_Cálculo!AD44</f>
        <v>0.79034346431421476</v>
      </c>
      <c r="AE44" s="121">
        <f>RGPS_Valor_Dezembro_Cálculo!AE44</f>
        <v>0.51880762865867569</v>
      </c>
      <c r="AF44" s="121">
        <f>RGPS_Valor_Dezembro_Cálculo!AF44</f>
        <v>0.41366547220973071</v>
      </c>
      <c r="AG44" s="121">
        <f>RGPS_Valor_Dezembro_Cálculo!AG44</f>
        <v>0.4015100696460554</v>
      </c>
      <c r="AH44" s="121">
        <f>RGPS_Valor_Dezembro_Cálculo!AH44</f>
        <v>0.37051605436848545</v>
      </c>
      <c r="AI44" s="121">
        <f>RGPS_Valor_Dezembro_Cálculo!AI44</f>
        <v>0.39986181656003439</v>
      </c>
      <c r="AJ44" s="121">
        <f>RGPS_Valor_Dezembro_Cálculo!AJ44</f>
        <v>0.40555020387380103</v>
      </c>
      <c r="AK44" s="121">
        <f>RGPS_Valor_Dezembro_Cálculo!AK44</f>
        <v>0.40465013329658439</v>
      </c>
      <c r="AL44" s="121">
        <f>RGPS_Valor_Dezembro_Cálculo!AL44</f>
        <v>0.41914634686178431</v>
      </c>
      <c r="AM44" s="121">
        <f>RGPS_Valor_Dezembro_Cálculo!AM44</f>
        <v>0.48320628258857601</v>
      </c>
      <c r="AN44" s="121">
        <f>RGPS_Valor_Dezembro_Cálculo!AN44</f>
        <v>0.42583569527567822</v>
      </c>
      <c r="AO44" s="121">
        <f>RGPS_Valor_Dezembro_Cálculo!AO44</f>
        <v>0.34085946929569477</v>
      </c>
      <c r="AP44" s="121">
        <f>RGPS_Valor_Dezembro_Cálculo!AP44</f>
        <v>0.34085946929569477</v>
      </c>
    </row>
    <row r="45" spans="2:42" ht="17.25" customHeight="1">
      <c r="B45" s="106" t="s">
        <v>37</v>
      </c>
      <c r="C45" s="37" t="s">
        <v>22</v>
      </c>
      <c r="D45" s="117">
        <f>RGPS_Valor_Dezembro_Cálculo!D45</f>
        <v>0.17971195694501124</v>
      </c>
      <c r="E45" s="118">
        <f>RGPS_Valor_Dezembro_Cálculo!E45</f>
        <v>0.17316090004553911</v>
      </c>
      <c r="F45" s="118">
        <f>RGPS_Valor_Dezembro_Cálculo!F45</f>
        <v>0.17272028389353197</v>
      </c>
      <c r="G45" s="118">
        <f>RGPS_Valor_Dezembro_Cálculo!G45</f>
        <v>0.18949566556558362</v>
      </c>
      <c r="H45" s="118">
        <f>RGPS_Valor_Dezembro_Cálculo!H45</f>
        <v>0.21389525012428887</v>
      </c>
      <c r="I45" s="118">
        <f>RGPS_Valor_Dezembro_Cálculo!I45</f>
        <v>0.22544129352841513</v>
      </c>
      <c r="J45" s="118">
        <f>RGPS_Valor_Dezembro_Cálculo!J45</f>
        <v>0.23252428944542936</v>
      </c>
      <c r="K45" s="118">
        <f>RGPS_Valor_Dezembro_Cálculo!K45</f>
        <v>0.24695423338811071</v>
      </c>
      <c r="L45" s="118">
        <f>RGPS_Valor_Dezembro_Cálculo!L45</f>
        <v>0.24601825827887389</v>
      </c>
      <c r="M45" s="118">
        <f>RGPS_Valor_Dezembro_Cálculo!M45</f>
        <v>0.24126437732623029</v>
      </c>
      <c r="N45" s="118">
        <f>RGPS_Valor_Dezembro_Cálculo!N45</f>
        <v>0.26597034254981217</v>
      </c>
      <c r="O45" s="118">
        <f>RGPS_Valor_Dezembro_Cálculo!O45</f>
        <v>0.26867064007319552</v>
      </c>
      <c r="P45" s="118">
        <f>RGPS_Valor_Dezembro_Cálculo!P45</f>
        <v>0.28125707185966425</v>
      </c>
      <c r="Q45" s="119">
        <f>RGPS_Valor_Dezembro_Cálculo!Q45</f>
        <v>0.97461937935780985</v>
      </c>
      <c r="R45" s="120">
        <f>RGPS_Valor_Dezembro_Cálculo!R45</f>
        <v>0.97403074769074183</v>
      </c>
      <c r="S45" s="120">
        <f>RGPS_Valor_Dezembro_Cálculo!S45</f>
        <v>0.97523568482226264</v>
      </c>
      <c r="T45" s="120">
        <f>RGPS_Valor_Dezembro_Cálculo!T45</f>
        <v>0.97906835728218666</v>
      </c>
      <c r="U45" s="120">
        <f>RGPS_Valor_Dezembro_Cálculo!U45</f>
        <v>0.98312378059339767</v>
      </c>
      <c r="V45" s="120">
        <f>RGPS_Valor_Dezembro_Cálculo!V45</f>
        <v>0.98485392137883854</v>
      </c>
      <c r="W45" s="120">
        <f>RGPS_Valor_Dezembro_Cálculo!W45</f>
        <v>0.98607024948920752</v>
      </c>
      <c r="X45" s="120">
        <f>RGPS_Valor_Dezembro_Cálculo!X45</f>
        <v>0.98753191748125313</v>
      </c>
      <c r="Y45" s="120">
        <f>RGPS_Valor_Dezembro_Cálculo!Y45</f>
        <v>0.9877700155346818</v>
      </c>
      <c r="Z45" s="120">
        <f>RGPS_Valor_Dezembro_Cálculo!Z45</f>
        <v>0.98783960753041644</v>
      </c>
      <c r="AA45" s="120">
        <f>RGPS_Valor_Dezembro_Cálculo!AA45</f>
        <v>0.98959770592575724</v>
      </c>
      <c r="AB45" s="120">
        <f>RGPS_Valor_Dezembro_Cálculo!AB45</f>
        <v>0.98997333081684724</v>
      </c>
      <c r="AC45" s="120">
        <f>RGPS_Valor_Dezembro_Cálculo!AC45</f>
        <v>0.99007548972332449</v>
      </c>
      <c r="AD45" s="121">
        <f>RGPS_Valor_Dezembro_Cálculo!AD45</f>
        <v>0.33346080248573773</v>
      </c>
      <c r="AE45" s="121">
        <f>RGPS_Valor_Dezembro_Cálculo!AE45</f>
        <v>0.32613508573478112</v>
      </c>
      <c r="AF45" s="121">
        <f>RGPS_Valor_Dezembro_Cálculo!AF45</f>
        <v>0.322336773414994</v>
      </c>
      <c r="AG45" s="121">
        <f>RGPS_Valor_Dezembro_Cálculo!AG45</f>
        <v>0.34229211263517623</v>
      </c>
      <c r="AH45" s="121">
        <f>RGPS_Valor_Dezembro_Cálculo!AH45</f>
        <v>0.37191132815103461</v>
      </c>
      <c r="AI45" s="121">
        <f>RGPS_Valor_Dezembro_Cálculo!AI45</f>
        <v>0.38615402548717637</v>
      </c>
      <c r="AJ45" s="121">
        <f>RGPS_Valor_Dezembro_Cálculo!AJ45</f>
        <v>0.39475829868752393</v>
      </c>
      <c r="AK45" s="121">
        <f>RGPS_Valor_Dezembro_Cálculo!AK45</f>
        <v>0.41089171931019669</v>
      </c>
      <c r="AL45" s="121">
        <f>RGPS_Valor_Dezembro_Cálculo!AL45</f>
        <v>0.40999718456264678</v>
      </c>
      <c r="AM45" s="121">
        <f>RGPS_Valor_Dezembro_Cálculo!AM45</f>
        <v>0.40479113689271101</v>
      </c>
      <c r="AN45" s="121">
        <f>RGPS_Valor_Dezembro_Cálculo!AN45</f>
        <v>0.42964633998299318</v>
      </c>
      <c r="AO45" s="121">
        <f>RGPS_Valor_Dezembro_Cálculo!AO45</f>
        <v>0.43163701468569793</v>
      </c>
      <c r="AP45" s="121">
        <f>RGPS_Valor_Dezembro_Cálculo!AP45</f>
        <v>0.43163701468569793</v>
      </c>
    </row>
    <row r="46" spans="2:42" ht="17.25" customHeight="1">
      <c r="B46" s="107"/>
      <c r="C46" s="39" t="s">
        <v>40</v>
      </c>
      <c r="D46" s="122">
        <f>RGPS_Valor_Dezembro_Cálculo!D46</f>
        <v>0.82028804305498881</v>
      </c>
      <c r="E46" s="123">
        <f>RGPS_Valor_Dezembro_Cálculo!E46</f>
        <v>0.82683909995446092</v>
      </c>
      <c r="F46" s="123">
        <f>RGPS_Valor_Dezembro_Cálculo!F46</f>
        <v>0.827279716106468</v>
      </c>
      <c r="G46" s="123">
        <f>RGPS_Valor_Dezembro_Cálculo!G46</f>
        <v>0.81050433443441638</v>
      </c>
      <c r="H46" s="123">
        <f>RGPS_Valor_Dezembro_Cálculo!H46</f>
        <v>0.78610474987571111</v>
      </c>
      <c r="I46" s="123">
        <f>RGPS_Valor_Dezembro_Cálculo!I46</f>
        <v>0.77455870647158487</v>
      </c>
      <c r="J46" s="123">
        <f>RGPS_Valor_Dezembro_Cálculo!J46</f>
        <v>0.76747571055457064</v>
      </c>
      <c r="K46" s="123">
        <f>RGPS_Valor_Dezembro_Cálculo!K46</f>
        <v>0.75304576661188927</v>
      </c>
      <c r="L46" s="123">
        <f>RGPS_Valor_Dezembro_Cálculo!L46</f>
        <v>0.75398174172112609</v>
      </c>
      <c r="M46" s="123">
        <f>RGPS_Valor_Dezembro_Cálculo!M46</f>
        <v>0.75873562267376971</v>
      </c>
      <c r="N46" s="123">
        <f>RGPS_Valor_Dezembro_Cálculo!N46</f>
        <v>0.73402965745018789</v>
      </c>
      <c r="O46" s="123">
        <f>RGPS_Valor_Dezembro_Cálculo!O46</f>
        <v>0.73132935992680448</v>
      </c>
      <c r="P46" s="123">
        <f>RGPS_Valor_Dezembro_Cálculo!P46</f>
        <v>0.71874292814033569</v>
      </c>
      <c r="Q46" s="124">
        <f>RGPS_Valor_Dezembro_Cálculo!Q46</f>
        <v>2.5380620642190155E-2</v>
      </c>
      <c r="R46" s="125">
        <f>RGPS_Valor_Dezembro_Cálculo!R46</f>
        <v>2.5969252309258173E-2</v>
      </c>
      <c r="S46" s="125">
        <f>RGPS_Valor_Dezembro_Cálculo!S46</f>
        <v>2.4764315177737362E-2</v>
      </c>
      <c r="T46" s="125">
        <f>RGPS_Valor_Dezembro_Cálculo!T46</f>
        <v>2.0931642717813337E-2</v>
      </c>
      <c r="U46" s="125">
        <f>RGPS_Valor_Dezembro_Cálculo!U46</f>
        <v>1.6876219406602333E-2</v>
      </c>
      <c r="V46" s="125">
        <f>RGPS_Valor_Dezembro_Cálculo!V46</f>
        <v>1.5146078621161463E-2</v>
      </c>
      <c r="W46" s="125">
        <f>RGPS_Valor_Dezembro_Cálculo!W46</f>
        <v>1.3929750510792482E-2</v>
      </c>
      <c r="X46" s="125">
        <f>RGPS_Valor_Dezembro_Cálculo!X46</f>
        <v>1.246808251874687E-2</v>
      </c>
      <c r="Y46" s="125">
        <f>RGPS_Valor_Dezembro_Cálculo!Y46</f>
        <v>1.22299844653182E-2</v>
      </c>
      <c r="Z46" s="125">
        <f>RGPS_Valor_Dezembro_Cálculo!Z46</f>
        <v>1.2160392469583559E-2</v>
      </c>
      <c r="AA46" s="125">
        <f>RGPS_Valor_Dezembro_Cálculo!AA46</f>
        <v>1.0402294074242757E-2</v>
      </c>
      <c r="AB46" s="125">
        <f>RGPS_Valor_Dezembro_Cálculo!AB46</f>
        <v>1.0026669183152759E-2</v>
      </c>
      <c r="AC46" s="125">
        <f>RGPS_Valor_Dezembro_Cálculo!AC46</f>
        <v>9.9245102766755133E-3</v>
      </c>
      <c r="AD46" s="126">
        <f>RGPS_Valor_Dezembro_Cálculo!AD46</f>
        <v>0.66653919751426227</v>
      </c>
      <c r="AE46" s="126">
        <f>RGPS_Valor_Dezembro_Cálculo!AE46</f>
        <v>0.67386491426521888</v>
      </c>
      <c r="AF46" s="126">
        <f>RGPS_Valor_Dezembro_Cálculo!AF46</f>
        <v>0.677663226585006</v>
      </c>
      <c r="AG46" s="126">
        <f>RGPS_Valor_Dezembro_Cálculo!AG46</f>
        <v>0.65770788736482377</v>
      </c>
      <c r="AH46" s="126">
        <f>RGPS_Valor_Dezembro_Cálculo!AH46</f>
        <v>0.62808867184896533</v>
      </c>
      <c r="AI46" s="126">
        <f>RGPS_Valor_Dezembro_Cálculo!AI46</f>
        <v>0.61384597451282363</v>
      </c>
      <c r="AJ46" s="126">
        <f>RGPS_Valor_Dezembro_Cálculo!AJ46</f>
        <v>0.60524170131247601</v>
      </c>
      <c r="AK46" s="126">
        <f>RGPS_Valor_Dezembro_Cálculo!AK46</f>
        <v>0.58910828068980337</v>
      </c>
      <c r="AL46" s="126">
        <f>RGPS_Valor_Dezembro_Cálculo!AL46</f>
        <v>0.59000281543735322</v>
      </c>
      <c r="AM46" s="126">
        <f>RGPS_Valor_Dezembro_Cálculo!AM46</f>
        <v>0.59520886310728893</v>
      </c>
      <c r="AN46" s="126">
        <f>RGPS_Valor_Dezembro_Cálculo!AN46</f>
        <v>0.57035366001700682</v>
      </c>
      <c r="AO46" s="126">
        <f>RGPS_Valor_Dezembro_Cálculo!AO46</f>
        <v>0.56836298531430207</v>
      </c>
      <c r="AP46" s="126">
        <f>RGPS_Valor_Dezembro_Cálculo!AP46</f>
        <v>0.56836298531430207</v>
      </c>
    </row>
    <row r="48" spans="2:42">
      <c r="D48" s="578"/>
      <c r="E48" s="578"/>
      <c r="F48" s="578"/>
      <c r="G48" s="578"/>
      <c r="H48" s="578"/>
      <c r="I48" s="578"/>
      <c r="J48" s="578"/>
      <c r="K48" s="578"/>
      <c r="L48" s="578"/>
      <c r="M48" s="578"/>
      <c r="N48" s="578"/>
      <c r="O48" s="578"/>
      <c r="P48" s="578"/>
      <c r="R48" s="578"/>
    </row>
    <row r="49" spans="2:42">
      <c r="B49" s="633" t="s">
        <v>103</v>
      </c>
      <c r="C49" s="633"/>
      <c r="D49" s="633"/>
      <c r="E49" s="633"/>
      <c r="F49" s="633"/>
      <c r="G49" s="633"/>
      <c r="H49" s="633"/>
      <c r="I49" s="633"/>
      <c r="J49" s="633"/>
      <c r="K49" s="633"/>
      <c r="L49" s="633"/>
      <c r="M49" s="633"/>
      <c r="N49" s="633"/>
      <c r="O49" s="633"/>
      <c r="P49" s="633"/>
      <c r="Q49" s="633"/>
      <c r="R49" s="633"/>
      <c r="S49" s="633"/>
      <c r="T49" s="633"/>
      <c r="U49" s="633"/>
      <c r="V49" s="633"/>
      <c r="W49" s="633"/>
      <c r="X49" s="633"/>
      <c r="Y49" s="633"/>
      <c r="Z49" s="633"/>
      <c r="AA49" s="633"/>
      <c r="AB49" s="633"/>
      <c r="AC49" s="633"/>
      <c r="AD49" s="633"/>
      <c r="AE49" s="633"/>
      <c r="AF49" s="633"/>
      <c r="AG49" s="633"/>
      <c r="AH49" s="633"/>
      <c r="AI49" s="633"/>
      <c r="AJ49" s="633"/>
      <c r="AK49" s="633"/>
      <c r="AL49" s="633"/>
      <c r="AM49" s="633"/>
      <c r="AN49" s="633"/>
      <c r="AO49" s="633"/>
      <c r="AP49" s="633"/>
    </row>
    <row r="50" spans="2:42">
      <c r="B50" s="630" t="s">
        <v>100</v>
      </c>
      <c r="C50" s="630"/>
      <c r="D50" s="153">
        <v>200</v>
      </c>
      <c r="E50" s="153">
        <v>240</v>
      </c>
      <c r="F50" s="153">
        <v>260</v>
      </c>
      <c r="G50" s="153">
        <v>300</v>
      </c>
      <c r="H50" s="153">
        <v>350</v>
      </c>
      <c r="I50" s="153">
        <v>380</v>
      </c>
      <c r="J50" s="153">
        <v>415</v>
      </c>
      <c r="K50" s="153">
        <v>465</v>
      </c>
      <c r="L50" s="153">
        <v>510</v>
      </c>
      <c r="M50" s="153">
        <v>545</v>
      </c>
      <c r="N50" s="153">
        <v>622</v>
      </c>
      <c r="O50" s="153">
        <v>678</v>
      </c>
      <c r="P50" s="153">
        <v>724</v>
      </c>
      <c r="Q50" s="153">
        <v>200</v>
      </c>
      <c r="R50" s="153">
        <v>240</v>
      </c>
      <c r="S50" s="153">
        <v>260</v>
      </c>
      <c r="T50" s="153">
        <v>300</v>
      </c>
      <c r="U50" s="153">
        <v>350</v>
      </c>
      <c r="V50" s="153">
        <v>380</v>
      </c>
      <c r="W50" s="153">
        <v>415</v>
      </c>
      <c r="X50" s="153">
        <v>465</v>
      </c>
      <c r="Y50" s="153">
        <v>510</v>
      </c>
      <c r="Z50" s="153">
        <v>545</v>
      </c>
      <c r="AA50" s="153">
        <v>622</v>
      </c>
      <c r="AB50" s="153">
        <v>678</v>
      </c>
      <c r="AC50" s="153">
        <v>724</v>
      </c>
      <c r="AD50" s="153">
        <v>200</v>
      </c>
      <c r="AE50" s="153">
        <v>240</v>
      </c>
      <c r="AF50" s="153">
        <v>260</v>
      </c>
      <c r="AG50" s="153">
        <v>300</v>
      </c>
      <c r="AH50" s="153">
        <v>350</v>
      </c>
      <c r="AI50" s="153">
        <v>380</v>
      </c>
      <c r="AJ50" s="153">
        <v>415</v>
      </c>
      <c r="AK50" s="153">
        <v>465</v>
      </c>
      <c r="AL50" s="153">
        <v>510</v>
      </c>
      <c r="AM50" s="153">
        <v>545</v>
      </c>
      <c r="AN50" s="153">
        <v>622</v>
      </c>
      <c r="AO50" s="153">
        <v>678</v>
      </c>
      <c r="AP50" s="153">
        <v>724</v>
      </c>
    </row>
    <row r="51" spans="2:42">
      <c r="B51" s="154"/>
      <c r="C51" s="154"/>
      <c r="D51" s="155">
        <v>2002</v>
      </c>
      <c r="E51" s="155">
        <v>2003</v>
      </c>
      <c r="F51" s="155">
        <v>2004</v>
      </c>
      <c r="G51" s="155">
        <v>2005</v>
      </c>
      <c r="H51" s="155">
        <v>2006</v>
      </c>
      <c r="I51" s="155">
        <v>2007</v>
      </c>
      <c r="J51" s="155">
        <v>2008</v>
      </c>
      <c r="K51" s="155">
        <v>2009</v>
      </c>
      <c r="L51" s="155">
        <v>2010</v>
      </c>
      <c r="M51" s="155">
        <v>2011</v>
      </c>
      <c r="N51" s="155">
        <v>2012</v>
      </c>
      <c r="O51" s="155">
        <v>2013</v>
      </c>
      <c r="P51" s="156">
        <v>2014</v>
      </c>
      <c r="Q51" s="155">
        <v>2002</v>
      </c>
      <c r="R51" s="155">
        <v>2003</v>
      </c>
      <c r="S51" s="155">
        <v>2004</v>
      </c>
      <c r="T51" s="155">
        <v>2005</v>
      </c>
      <c r="U51" s="155">
        <v>2006</v>
      </c>
      <c r="V51" s="155">
        <v>2007</v>
      </c>
      <c r="W51" s="155">
        <v>2008</v>
      </c>
      <c r="X51" s="155">
        <v>2009</v>
      </c>
      <c r="Y51" s="155">
        <v>2010</v>
      </c>
      <c r="Z51" s="155">
        <v>2011</v>
      </c>
      <c r="AA51" s="155">
        <v>2012</v>
      </c>
      <c r="AB51" s="155">
        <v>2013</v>
      </c>
      <c r="AC51" s="155">
        <v>2014</v>
      </c>
      <c r="AD51" s="155">
        <v>2002</v>
      </c>
      <c r="AE51" s="155">
        <v>2003</v>
      </c>
      <c r="AF51" s="155">
        <v>2004</v>
      </c>
      <c r="AG51" s="155">
        <v>2005</v>
      </c>
      <c r="AH51" s="155">
        <v>2006</v>
      </c>
      <c r="AI51" s="155">
        <v>2007</v>
      </c>
      <c r="AJ51" s="155">
        <v>2008</v>
      </c>
      <c r="AK51" s="155">
        <v>2009</v>
      </c>
      <c r="AL51" s="155">
        <v>2010</v>
      </c>
      <c r="AM51" s="155">
        <v>2011</v>
      </c>
      <c r="AN51" s="155">
        <v>2012</v>
      </c>
      <c r="AO51" s="155">
        <v>2013</v>
      </c>
      <c r="AP51" s="155">
        <v>2014</v>
      </c>
    </row>
    <row r="52" spans="2:42">
      <c r="B52" s="106" t="s">
        <v>53</v>
      </c>
      <c r="C52" s="37" t="s">
        <v>22</v>
      </c>
      <c r="D52" s="110">
        <f>D5</f>
        <v>866.788109462173</v>
      </c>
      <c r="E52" s="110">
        <f t="shared" ref="E52:AC52" si="30">E5</f>
        <v>1025.5541556744686</v>
      </c>
      <c r="F52" s="110">
        <f t="shared" si="30"/>
        <v>1220.6410806909305</v>
      </c>
      <c r="G52" s="110">
        <f t="shared" si="30"/>
        <v>1567.8820132823255</v>
      </c>
      <c r="H52" s="110">
        <f t="shared" si="30"/>
        <v>2122.6801947968206</v>
      </c>
      <c r="I52" s="110">
        <f t="shared" si="30"/>
        <v>2542.4687796501407</v>
      </c>
      <c r="J52" s="110">
        <f t="shared" si="30"/>
        <v>3106.2065338957109</v>
      </c>
      <c r="K52" s="110">
        <f t="shared" si="30"/>
        <v>4047.9534964174827</v>
      </c>
      <c r="L52" s="110">
        <f t="shared" si="30"/>
        <v>4777.7217542664639</v>
      </c>
      <c r="M52" s="110">
        <f t="shared" si="30"/>
        <v>5348.4785383216995</v>
      </c>
      <c r="N52" s="110">
        <f t="shared" si="30"/>
        <v>6990.3925819612632</v>
      </c>
      <c r="O52" s="110">
        <f t="shared" si="30"/>
        <v>8191.7654387690454</v>
      </c>
      <c r="P52" s="110">
        <f t="shared" si="30"/>
        <v>10420.276303596729</v>
      </c>
      <c r="Q52" s="111">
        <f t="shared" si="30"/>
        <v>4.5124879368810911</v>
      </c>
      <c r="R52" s="112">
        <f t="shared" si="30"/>
        <v>5.4386219249722458</v>
      </c>
      <c r="S52" s="112">
        <f t="shared" si="30"/>
        <v>6.7437192187635526</v>
      </c>
      <c r="T52" s="112">
        <f t="shared" si="30"/>
        <v>10.591822796800503</v>
      </c>
      <c r="U52" s="112">
        <f t="shared" si="30"/>
        <v>16.584713392773118</v>
      </c>
      <c r="V52" s="112">
        <f t="shared" si="30"/>
        <v>21.861583078946818</v>
      </c>
      <c r="W52" s="112">
        <f t="shared" si="30"/>
        <v>28.287121919013682</v>
      </c>
      <c r="X52" s="112">
        <f t="shared" si="30"/>
        <v>40.687968524958428</v>
      </c>
      <c r="Y52" s="112">
        <f t="shared" si="30"/>
        <v>49.739687853410487</v>
      </c>
      <c r="Z52" s="112">
        <f t="shared" si="30"/>
        <v>57.768310776626798</v>
      </c>
      <c r="AA52" s="112">
        <f t="shared" si="30"/>
        <v>75.548506053672796</v>
      </c>
      <c r="AB52" s="112">
        <f t="shared" si="30"/>
        <v>89.936608009486775</v>
      </c>
      <c r="AC52" s="112">
        <f t="shared" si="30"/>
        <v>104.01040992347163</v>
      </c>
      <c r="AD52" s="109">
        <f>Q52+D52</f>
        <v>871.30059739905414</v>
      </c>
      <c r="AE52" s="109">
        <f t="shared" ref="AE52:AE67" si="31">R52+E52</f>
        <v>1030.9927775994408</v>
      </c>
      <c r="AF52" s="109">
        <f t="shared" ref="AF52:AF67" si="32">S52+F52</f>
        <v>1227.384799909694</v>
      </c>
      <c r="AG52" s="109">
        <f t="shared" ref="AG52:AG67" si="33">T52+G52</f>
        <v>1578.4738360791259</v>
      </c>
      <c r="AH52" s="109">
        <f t="shared" ref="AH52:AH67" si="34">U52+H52</f>
        <v>2139.2649081895938</v>
      </c>
      <c r="AI52" s="109">
        <f t="shared" ref="AI52:AI67" si="35">V52+I52</f>
        <v>2564.3303627290875</v>
      </c>
      <c r="AJ52" s="109">
        <f t="shared" ref="AJ52:AJ67" si="36">W52+J52</f>
        <v>3134.4936558147247</v>
      </c>
      <c r="AK52" s="109">
        <f t="shared" ref="AK52:AK67" si="37">X52+K52</f>
        <v>4088.641464942441</v>
      </c>
      <c r="AL52" s="109">
        <f t="shared" ref="AL52:AL67" si="38">Y52+L52</f>
        <v>4827.4614421198748</v>
      </c>
      <c r="AM52" s="109">
        <f t="shared" ref="AM52:AM67" si="39">Z52+M52</f>
        <v>5406.2468490983265</v>
      </c>
      <c r="AN52" s="109">
        <f t="shared" ref="AN52:AN67" si="40">AA52+N52</f>
        <v>7065.9410880149362</v>
      </c>
      <c r="AO52" s="109">
        <f t="shared" ref="AO52:AO67" si="41">AB52+O52</f>
        <v>8281.7020467785314</v>
      </c>
      <c r="AP52" s="109">
        <f t="shared" ref="AP52:AP67" si="42">AC52+P52</f>
        <v>10524.286713520201</v>
      </c>
    </row>
    <row r="53" spans="2:42">
      <c r="B53" s="106"/>
      <c r="C53" s="37" t="s">
        <v>40</v>
      </c>
      <c r="D53" s="110">
        <f>RGPS_Valor_Dezembro_Cálculo!D53/RGPS_Valor_Dezembro_Cálculo!D6*'RGPS_Valor Acumulado'!D6</f>
        <v>7715.8987249309348</v>
      </c>
      <c r="E53" s="110">
        <f>RGPS_Valor_Dezembro_Cálculo!E53/RGPS_Valor_Dezembro_Cálculo!E6*'RGPS_Valor Acumulado'!E6</f>
        <v>9122.5398061674823</v>
      </c>
      <c r="F53" s="110">
        <f>RGPS_Valor_Dezembro_Cálculo!F53/RGPS_Valor_Dezembro_Cálculo!F6*'RGPS_Valor Acumulado'!F6</f>
        <v>10432.102925727422</v>
      </c>
      <c r="G53" s="110">
        <f>RGPS_Valor_Dezembro_Cálculo!G53/RGPS_Valor_Dezembro_Cálculo!G6*'RGPS_Valor Acumulado'!G6</f>
        <v>11771.240711877728</v>
      </c>
      <c r="H53" s="110">
        <f>RGPS_Valor_Dezembro_Cálculo!H53/RGPS_Valor_Dezembro_Cálculo!H6*'RGPS_Valor Acumulado'!H6</f>
        <v>13582.232831156858</v>
      </c>
      <c r="I53" s="110">
        <f>RGPS_Valor_Dezembro_Cálculo!I53/RGPS_Valor_Dezembro_Cálculo!I6*'RGPS_Valor Acumulado'!I6</f>
        <v>14966.122854734611</v>
      </c>
      <c r="J53" s="110">
        <f>RGPS_Valor_Dezembro_Cálculo!J53/RGPS_Valor_Dezembro_Cálculo!J6*'RGPS_Valor Acumulado'!J6</f>
        <v>16884.160387797172</v>
      </c>
      <c r="K53" s="110">
        <f>RGPS_Valor_Dezembro_Cálculo!K53/RGPS_Valor_Dezembro_Cálculo!K6*'RGPS_Valor Acumulado'!K6</f>
        <v>19711.095774782039</v>
      </c>
      <c r="L53" s="110">
        <f>RGPS_Valor_Dezembro_Cálculo!L53/RGPS_Valor_Dezembro_Cálculo!L6*'RGPS_Valor Acumulado'!L6</f>
        <v>22300.399908902356</v>
      </c>
      <c r="M53" s="110">
        <f>RGPS_Valor_Dezembro_Cálculo!M53/RGPS_Valor_Dezembro_Cálculo!M6*'RGPS_Valor Acumulado'!M6</f>
        <v>24589.691344242528</v>
      </c>
      <c r="N53" s="110">
        <f>RGPS_Valor_Dezembro_Cálculo!N53/RGPS_Valor_Dezembro_Cálculo!N6*'RGPS_Valor Acumulado'!N6</f>
        <v>28440.553642148523</v>
      </c>
      <c r="O53" s="110">
        <f>RGPS_Valor_Dezembro_Cálculo!O53/RGPS_Valor_Dezembro_Cálculo!O6*'RGPS_Valor Acumulado'!O6</f>
        <v>31854.039585071831</v>
      </c>
      <c r="P53" s="110">
        <f>RGPS_Valor_Dezembro_Cálculo!P53/RGPS_Valor_Dezembro_Cálculo!P6*'RGPS_Valor Acumulado'!P6</f>
        <v>39776.552295250367</v>
      </c>
      <c r="Q53" s="111">
        <f>RGPS_Valor_Dezembro_Cálculo!Q53/RGPS_Valor_Dezembro_Cálculo!Q6*'RGPS_Valor Acumulado'!Q6</f>
        <v>11.503804725011431</v>
      </c>
      <c r="R53" s="112">
        <f>RGPS_Valor_Dezembro_Cálculo!R53/RGPS_Valor_Dezembro_Cálculo!R6*'RGPS_Valor Acumulado'!R6</f>
        <v>14.393763075447319</v>
      </c>
      <c r="S53" s="112">
        <f>RGPS_Valor_Dezembro_Cálculo!S53/RGPS_Valor_Dezembro_Cálculo!S6*'RGPS_Valor Acumulado'!S6</f>
        <v>17.321489608822876</v>
      </c>
      <c r="T53" s="112">
        <f>RGPS_Valor_Dezembro_Cálculo!T53/RGPS_Valor_Dezembro_Cálculo!T6*'RGPS_Valor Acumulado'!T6</f>
        <v>21.342405629263617</v>
      </c>
      <c r="U53" s="112">
        <f>RGPS_Valor_Dezembro_Cálculo!U53/RGPS_Valor_Dezembro_Cálculo!U6*'RGPS_Valor Acumulado'!U6</f>
        <v>25.887883127017794</v>
      </c>
      <c r="V53" s="112">
        <f>RGPS_Valor_Dezembro_Cálculo!V53/RGPS_Valor_Dezembro_Cálculo!V6*'RGPS_Valor Acumulado'!V6</f>
        <v>29.031285359044794</v>
      </c>
      <c r="W53" s="112">
        <f>RGPS_Valor_Dezembro_Cálculo!W53/RGPS_Valor_Dezembro_Cálculo!W6*'RGPS_Valor Acumulado'!W6</f>
        <v>32.670279863518196</v>
      </c>
      <c r="X53" s="112">
        <f>RGPS_Valor_Dezembro_Cálculo!X53/RGPS_Valor_Dezembro_Cálculo!X6*'RGPS_Valor Acumulado'!X6</f>
        <v>37.400909541977036</v>
      </c>
      <c r="Y53" s="112">
        <f>RGPS_Valor_Dezembro_Cálculo!Y53/RGPS_Valor_Dezembro_Cálculo!Y6*'RGPS_Valor Acumulado'!Y6</f>
        <v>42.656751235645075</v>
      </c>
      <c r="Z53" s="112">
        <f>RGPS_Valor_Dezembro_Cálculo!Z53/RGPS_Valor_Dezembro_Cálculo!Z6*'RGPS_Valor Acumulado'!Z6</f>
        <v>46.976172279236678</v>
      </c>
      <c r="AA53" s="112">
        <f>RGPS_Valor_Dezembro_Cálculo!AA53/RGPS_Valor_Dezembro_Cálculo!AA6*'RGPS_Valor Acumulado'!AA6</f>
        <v>50.449963387557183</v>
      </c>
      <c r="AB53" s="112">
        <f>RGPS_Valor_Dezembro_Cálculo!AB53/RGPS_Valor_Dezembro_Cálculo!AB6*'RGPS_Valor Acumulado'!AB6</f>
        <v>55.038646891377176</v>
      </c>
      <c r="AC53" s="112">
        <f>RGPS_Valor_Dezembro_Cálculo!AC53/RGPS_Valor_Dezembro_Cálculo!AC6*'RGPS_Valor Acumulado'!AC6</f>
        <v>60.49383805310142</v>
      </c>
      <c r="AD53" s="109">
        <f t="shared" ref="AD53:AD67" si="43">Q53+D53</f>
        <v>7727.4025296559466</v>
      </c>
      <c r="AE53" s="109">
        <f t="shared" si="31"/>
        <v>9136.9335692429304</v>
      </c>
      <c r="AF53" s="109">
        <f t="shared" si="32"/>
        <v>10449.424415336245</v>
      </c>
      <c r="AG53" s="109">
        <f t="shared" si="33"/>
        <v>11792.583117506992</v>
      </c>
      <c r="AH53" s="109">
        <f t="shared" si="34"/>
        <v>13608.120714283876</v>
      </c>
      <c r="AI53" s="109">
        <f t="shared" si="35"/>
        <v>14995.154140093655</v>
      </c>
      <c r="AJ53" s="109">
        <f t="shared" si="36"/>
        <v>16916.830667660692</v>
      </c>
      <c r="AK53" s="109">
        <f t="shared" si="37"/>
        <v>19748.496684324018</v>
      </c>
      <c r="AL53" s="109">
        <f t="shared" si="38"/>
        <v>22343.056660138001</v>
      </c>
      <c r="AM53" s="109">
        <f t="shared" si="39"/>
        <v>24636.667516521764</v>
      </c>
      <c r="AN53" s="109">
        <f t="shared" si="40"/>
        <v>28491.00360553608</v>
      </c>
      <c r="AO53" s="109">
        <f t="shared" si="41"/>
        <v>31909.078231963209</v>
      </c>
      <c r="AP53" s="109">
        <f t="shared" si="42"/>
        <v>39837.046133303469</v>
      </c>
    </row>
    <row r="54" spans="2:42">
      <c r="B54" s="106" t="s">
        <v>48</v>
      </c>
      <c r="C54" s="37" t="s">
        <v>22</v>
      </c>
      <c r="D54" s="110">
        <f>D8</f>
        <v>2278.8756505430683</v>
      </c>
      <c r="E54" s="110">
        <f t="shared" ref="E54:AC54" si="44">E8</f>
        <v>2778.3647506320062</v>
      </c>
      <c r="F54" s="110">
        <f t="shared" si="44"/>
        <v>3499.0366492162898</v>
      </c>
      <c r="G54" s="110">
        <f t="shared" si="44"/>
        <v>4397.0214736666485</v>
      </c>
      <c r="H54" s="110">
        <f t="shared" si="44"/>
        <v>5596.3564150851598</v>
      </c>
      <c r="I54" s="110">
        <f t="shared" si="44"/>
        <v>6484.1891363998147</v>
      </c>
      <c r="J54" s="110">
        <f t="shared" si="44"/>
        <v>7560.3122732008042</v>
      </c>
      <c r="K54" s="110">
        <f t="shared" si="44"/>
        <v>9353.6829193051926</v>
      </c>
      <c r="L54" s="110">
        <f t="shared" si="44"/>
        <v>10890.354902725336</v>
      </c>
      <c r="M54" s="110">
        <f t="shared" si="44"/>
        <v>12098.831110089699</v>
      </c>
      <c r="N54" s="110">
        <f t="shared" si="44"/>
        <v>15063.341011899549</v>
      </c>
      <c r="O54" s="110">
        <f t="shared" si="44"/>
        <v>17570.793379848565</v>
      </c>
      <c r="P54" s="110">
        <f t="shared" si="44"/>
        <v>19922.317435427543</v>
      </c>
      <c r="Q54" s="111">
        <f t="shared" si="44"/>
        <v>10603.440038372359</v>
      </c>
      <c r="R54" s="112">
        <f t="shared" si="44"/>
        <v>12936.776690902703</v>
      </c>
      <c r="S54" s="112">
        <f t="shared" si="44"/>
        <v>14580.243584559334</v>
      </c>
      <c r="T54" s="112">
        <f t="shared" si="44"/>
        <v>16669.038615085326</v>
      </c>
      <c r="U54" s="112">
        <f t="shared" si="44"/>
        <v>19537.066001605242</v>
      </c>
      <c r="V54" s="112">
        <f t="shared" si="44"/>
        <v>21765.492998619917</v>
      </c>
      <c r="W54" s="112">
        <f t="shared" si="44"/>
        <v>24553.500204166037</v>
      </c>
      <c r="X54" s="112">
        <f t="shared" si="44"/>
        <v>28899.403985197572</v>
      </c>
      <c r="Y54" s="112">
        <f t="shared" si="44"/>
        <v>32632.499060316874</v>
      </c>
      <c r="Z54" s="112">
        <f t="shared" si="44"/>
        <v>35472.439758028653</v>
      </c>
      <c r="AA54" s="112">
        <f t="shared" si="44"/>
        <v>41473.944895349036</v>
      </c>
      <c r="AB54" s="112">
        <f t="shared" si="44"/>
        <v>46469.606377523785</v>
      </c>
      <c r="AC54" s="112">
        <f t="shared" si="44"/>
        <v>51031.517617749603</v>
      </c>
      <c r="AD54" s="109">
        <f t="shared" si="43"/>
        <v>12882.315688915427</v>
      </c>
      <c r="AE54" s="109">
        <f t="shared" si="31"/>
        <v>15715.14144153471</v>
      </c>
      <c r="AF54" s="109">
        <f t="shared" si="32"/>
        <v>18079.280233775622</v>
      </c>
      <c r="AG54" s="109">
        <f t="shared" si="33"/>
        <v>21066.060088751976</v>
      </c>
      <c r="AH54" s="109">
        <f t="shared" si="34"/>
        <v>25133.422416690402</v>
      </c>
      <c r="AI54" s="109">
        <f t="shared" si="35"/>
        <v>28249.682135019732</v>
      </c>
      <c r="AJ54" s="109">
        <f t="shared" si="36"/>
        <v>32113.812477366842</v>
      </c>
      <c r="AK54" s="109">
        <f t="shared" si="37"/>
        <v>38253.086904502765</v>
      </c>
      <c r="AL54" s="109">
        <f t="shared" si="38"/>
        <v>43522.853963042209</v>
      </c>
      <c r="AM54" s="109">
        <f t="shared" si="39"/>
        <v>47571.27086811835</v>
      </c>
      <c r="AN54" s="109">
        <f t="shared" si="40"/>
        <v>56537.285907248588</v>
      </c>
      <c r="AO54" s="109">
        <f t="shared" si="41"/>
        <v>64040.399757372346</v>
      </c>
      <c r="AP54" s="109">
        <f t="shared" si="42"/>
        <v>70953.835053177143</v>
      </c>
    </row>
    <row r="55" spans="2:42">
      <c r="B55" s="106"/>
      <c r="C55" s="37" t="s">
        <v>40</v>
      </c>
      <c r="D55" s="110">
        <f>RGPS_Valor_Dezembro_Cálculo!D55/RGPS_Valor_Dezembro_Cálculo!D9*'RGPS_Valor Acumulado'!D9</f>
        <v>1806.0149269770027</v>
      </c>
      <c r="E55" s="110">
        <f>RGPS_Valor_Dezembro_Cálculo!E55/RGPS_Valor_Dezembro_Cálculo!E9*'RGPS_Valor Acumulado'!E9</f>
        <v>2245.6936136801505</v>
      </c>
      <c r="F55" s="110">
        <f>RGPS_Valor_Dezembro_Cálculo!F55/RGPS_Valor_Dezembro_Cálculo!F9*'RGPS_Valor Acumulado'!F9</f>
        <v>2613.9758297980411</v>
      </c>
      <c r="G55" s="110">
        <f>RGPS_Valor_Dezembro_Cálculo!G55/RGPS_Valor_Dezembro_Cálculo!G9*'RGPS_Valor Acumulado'!G9</f>
        <v>2962.4143840925917</v>
      </c>
      <c r="H55" s="110">
        <f>RGPS_Valor_Dezembro_Cálculo!H55/RGPS_Valor_Dezembro_Cálculo!H9*'RGPS_Valor Acumulado'!H9</f>
        <v>3300.0936967663247</v>
      </c>
      <c r="I55" s="110">
        <f>RGPS_Valor_Dezembro_Cálculo!I55/RGPS_Valor_Dezembro_Cálculo!I9*'RGPS_Valor Acumulado'!I9</f>
        <v>3582.6217039960075</v>
      </c>
      <c r="J55" s="110">
        <f>RGPS_Valor_Dezembro_Cálculo!J55/RGPS_Valor_Dezembro_Cálculo!J9*'RGPS_Valor Acumulado'!J9</f>
        <v>4025.1962838552772</v>
      </c>
      <c r="K55" s="110">
        <f>RGPS_Valor_Dezembro_Cálculo!K55/RGPS_Valor_Dezembro_Cálculo!K9*'RGPS_Valor Acumulado'!K9</f>
        <v>4634.869365204835</v>
      </c>
      <c r="L55" s="110">
        <f>RGPS_Valor_Dezembro_Cálculo!L55/RGPS_Valor_Dezembro_Cálculo!L9*'RGPS_Valor Acumulado'!L9</f>
        <v>5333.0045415679424</v>
      </c>
      <c r="M55" s="110">
        <f>RGPS_Valor_Dezembro_Cálculo!M55/RGPS_Valor_Dezembro_Cálculo!M9*'RGPS_Valor Acumulado'!M9</f>
        <v>5989.2687619004164</v>
      </c>
      <c r="N55" s="110">
        <f>RGPS_Valor_Dezembro_Cálculo!N55/RGPS_Valor_Dezembro_Cálculo!N9*'RGPS_Valor Acumulado'!N9</f>
        <v>6722.8746856729822</v>
      </c>
      <c r="O55" s="110">
        <f>RGPS_Valor_Dezembro_Cálculo!O55/RGPS_Valor_Dezembro_Cálculo!O9*'RGPS_Valor Acumulado'!O9</f>
        <v>7651.297174406237</v>
      </c>
      <c r="P55" s="110">
        <f>RGPS_Valor_Dezembro_Cálculo!P55/RGPS_Valor_Dezembro_Cálculo!P9*'RGPS_Valor Acumulado'!P9</f>
        <v>8681.5740954609282</v>
      </c>
      <c r="Q55" s="111">
        <f>RGPS_Valor_Dezembro_Cálculo!Q55/RGPS_Valor_Dezembro_Cálculo!Q9*'RGPS_Valor Acumulado'!Q9</f>
        <v>59.015663241805825</v>
      </c>
      <c r="R55" s="112">
        <f>RGPS_Valor_Dezembro_Cálculo!R55/RGPS_Valor_Dezembro_Cálculo!R9*'RGPS_Valor Acumulado'!R9</f>
        <v>75.005226764934335</v>
      </c>
      <c r="S55" s="112">
        <f>RGPS_Valor_Dezembro_Cálculo!S55/RGPS_Valor_Dezembro_Cálculo!S9*'RGPS_Valor Acumulado'!S9</f>
        <v>73.717383437579855</v>
      </c>
      <c r="T55" s="112">
        <f>RGPS_Valor_Dezembro_Cálculo!T55/RGPS_Valor_Dezembro_Cálculo!T9*'RGPS_Valor Acumulado'!T9</f>
        <v>76.106529227528867</v>
      </c>
      <c r="U55" s="112">
        <f>RGPS_Valor_Dezembro_Cálculo!U55/RGPS_Valor_Dezembro_Cálculo!U9*'RGPS_Valor Acumulado'!U9</f>
        <v>78.224335024698462</v>
      </c>
      <c r="V55" s="112">
        <f>RGPS_Valor_Dezembro_Cálculo!V55/RGPS_Valor_Dezembro_Cálculo!V9*'RGPS_Valor Acumulado'!V9</f>
        <v>83.178967894914621</v>
      </c>
      <c r="W55" s="112">
        <f>RGPS_Valor_Dezembro_Cálculo!W55/RGPS_Valor_Dezembro_Cálculo!W9*'RGPS_Valor Acumulado'!W9</f>
        <v>90.718727396873419</v>
      </c>
      <c r="X55" s="112">
        <f>RGPS_Valor_Dezembro_Cálculo!X55/RGPS_Valor_Dezembro_Cálculo!X9*'RGPS_Valor Acumulado'!X9</f>
        <v>100.03785192889357</v>
      </c>
      <c r="Y55" s="112">
        <f>RGPS_Valor_Dezembro_Cálculo!Y55/RGPS_Valor_Dezembro_Cálculo!Y9*'RGPS_Valor Acumulado'!Y9</f>
        <v>112.72306427232103</v>
      </c>
      <c r="Z55" s="112">
        <f>RGPS_Valor_Dezembro_Cálculo!Z55/RGPS_Valor_Dezembro_Cálculo!Z9*'RGPS_Valor Acumulado'!Z9</f>
        <v>125.95749625354753</v>
      </c>
      <c r="AA55" s="112">
        <f>RGPS_Valor_Dezembro_Cálculo!AA55/RGPS_Valor_Dezembro_Cálculo!AA9*'RGPS_Valor Acumulado'!AA9</f>
        <v>137.18537031737705</v>
      </c>
      <c r="AB55" s="112">
        <f>RGPS_Valor_Dezembro_Cálculo!AB55/RGPS_Valor_Dezembro_Cálculo!AB9*'RGPS_Valor Acumulado'!AB9</f>
        <v>154.70131466196787</v>
      </c>
      <c r="AC55" s="112">
        <f>RGPS_Valor_Dezembro_Cálculo!AC55/RGPS_Valor_Dezembro_Cálculo!AC9*'RGPS_Valor Acumulado'!AC9</f>
        <v>177.16054160998598</v>
      </c>
      <c r="AD55" s="109">
        <f t="shared" si="43"/>
        <v>1865.0305902188086</v>
      </c>
      <c r="AE55" s="109">
        <f t="shared" si="31"/>
        <v>2320.6988404450849</v>
      </c>
      <c r="AF55" s="109">
        <f t="shared" si="32"/>
        <v>2687.693213235621</v>
      </c>
      <c r="AG55" s="109">
        <f t="shared" si="33"/>
        <v>3038.5209133201206</v>
      </c>
      <c r="AH55" s="109">
        <f t="shared" si="34"/>
        <v>3378.3180317910233</v>
      </c>
      <c r="AI55" s="109">
        <f t="shared" si="35"/>
        <v>3665.8006718909219</v>
      </c>
      <c r="AJ55" s="109">
        <f t="shared" si="36"/>
        <v>4115.9150112521511</v>
      </c>
      <c r="AK55" s="109">
        <f t="shared" si="37"/>
        <v>4734.9072171337284</v>
      </c>
      <c r="AL55" s="109">
        <f t="shared" si="38"/>
        <v>5445.7276058402631</v>
      </c>
      <c r="AM55" s="109">
        <f t="shared" si="39"/>
        <v>6115.2262581539635</v>
      </c>
      <c r="AN55" s="109">
        <f t="shared" si="40"/>
        <v>6860.0600559903596</v>
      </c>
      <c r="AO55" s="109">
        <f t="shared" si="41"/>
        <v>7805.9984890682044</v>
      </c>
      <c r="AP55" s="109">
        <f t="shared" si="42"/>
        <v>8858.7346370709147</v>
      </c>
    </row>
    <row r="56" spans="2:42">
      <c r="B56" s="106" t="s">
        <v>23</v>
      </c>
      <c r="C56" s="37" t="s">
        <v>22</v>
      </c>
      <c r="D56" s="110">
        <f>D11</f>
        <v>3150.8096398943867</v>
      </c>
      <c r="E56" s="110">
        <f t="shared" ref="E56:AC56" si="45">E11</f>
        <v>3607.350032091425</v>
      </c>
      <c r="F56" s="110">
        <f t="shared" si="45"/>
        <v>3983.3741226987045</v>
      </c>
      <c r="G56" s="110">
        <f t="shared" si="45"/>
        <v>4620.5952853065492</v>
      </c>
      <c r="H56" s="110">
        <f t="shared" si="45"/>
        <v>5672.5710219694165</v>
      </c>
      <c r="I56" s="110">
        <f t="shared" si="45"/>
        <v>6236.2135121497404</v>
      </c>
      <c r="J56" s="110">
        <f t="shared" si="45"/>
        <v>6912.9141647847418</v>
      </c>
      <c r="K56" s="110">
        <f t="shared" si="45"/>
        <v>8067.9668239614894</v>
      </c>
      <c r="L56" s="110">
        <f t="shared" si="45"/>
        <v>8772.7653908557586</v>
      </c>
      <c r="M56" s="110">
        <f t="shared" si="45"/>
        <v>9224.3242610596371</v>
      </c>
      <c r="N56" s="110">
        <f t="shared" si="45"/>
        <v>11033.748316789335</v>
      </c>
      <c r="O56" s="110">
        <f t="shared" si="45"/>
        <v>11984.049670244189</v>
      </c>
      <c r="P56" s="110">
        <f t="shared" si="45"/>
        <v>12881.616915821704</v>
      </c>
      <c r="Q56" s="111">
        <f t="shared" si="45"/>
        <v>1024.0550812073197</v>
      </c>
      <c r="R56" s="112">
        <f t="shared" si="45"/>
        <v>1215.4794407582865</v>
      </c>
      <c r="S56" s="112">
        <f t="shared" si="45"/>
        <v>1350.1239438591547</v>
      </c>
      <c r="T56" s="112">
        <f t="shared" si="45"/>
        <v>1535.1472284689003</v>
      </c>
      <c r="U56" s="112">
        <f t="shared" si="45"/>
        <v>1786.8451801091585</v>
      </c>
      <c r="V56" s="112">
        <f t="shared" si="45"/>
        <v>1905.5984431630081</v>
      </c>
      <c r="W56" s="112">
        <f t="shared" si="45"/>
        <v>2080.2094946267989</v>
      </c>
      <c r="X56" s="112">
        <f t="shared" si="45"/>
        <v>2372.7143740220508</v>
      </c>
      <c r="Y56" s="112">
        <f t="shared" si="45"/>
        <v>2604.8331273557924</v>
      </c>
      <c r="Z56" s="112">
        <f t="shared" si="45"/>
        <v>2769.00064440101</v>
      </c>
      <c r="AA56" s="112">
        <f t="shared" si="45"/>
        <v>3188.9830258545794</v>
      </c>
      <c r="AB56" s="112">
        <f t="shared" si="45"/>
        <v>3511.9220119445754</v>
      </c>
      <c r="AC56" s="112">
        <f t="shared" si="45"/>
        <v>3822.1924440975586</v>
      </c>
      <c r="AD56" s="109">
        <f t="shared" si="43"/>
        <v>4174.8647211017069</v>
      </c>
      <c r="AE56" s="109">
        <f t="shared" si="31"/>
        <v>4822.8294728497112</v>
      </c>
      <c r="AF56" s="109">
        <f t="shared" si="32"/>
        <v>5333.4980665578587</v>
      </c>
      <c r="AG56" s="109">
        <f t="shared" si="33"/>
        <v>6155.742513775449</v>
      </c>
      <c r="AH56" s="109">
        <f t="shared" si="34"/>
        <v>7459.4162020785752</v>
      </c>
      <c r="AI56" s="109">
        <f t="shared" si="35"/>
        <v>8141.811955312749</v>
      </c>
      <c r="AJ56" s="109">
        <f t="shared" si="36"/>
        <v>8993.1236594115398</v>
      </c>
      <c r="AK56" s="109">
        <f t="shared" si="37"/>
        <v>10440.68119798354</v>
      </c>
      <c r="AL56" s="109">
        <f t="shared" si="38"/>
        <v>11377.598518211551</v>
      </c>
      <c r="AM56" s="109">
        <f t="shared" si="39"/>
        <v>11993.324905460648</v>
      </c>
      <c r="AN56" s="109">
        <f t="shared" si="40"/>
        <v>14222.731342643914</v>
      </c>
      <c r="AO56" s="109">
        <f t="shared" si="41"/>
        <v>15495.971682188763</v>
      </c>
      <c r="AP56" s="109">
        <f t="shared" si="42"/>
        <v>16703.809359919262</v>
      </c>
    </row>
    <row r="57" spans="2:42">
      <c r="B57" s="106"/>
      <c r="C57" s="37" t="s">
        <v>40</v>
      </c>
      <c r="D57" s="110">
        <f>RGPS_Valor_Dezembro_Cálculo!D57/RGPS_Valor_Dezembro_Cálculo!D12*'RGPS_Valor Acumulado'!D12</f>
        <v>1787.5243184084625</v>
      </c>
      <c r="E57" s="110">
        <f>RGPS_Valor_Dezembro_Cálculo!E57/RGPS_Valor_Dezembro_Cálculo!E12*'RGPS_Valor Acumulado'!E12</f>
        <v>2391.0934651719513</v>
      </c>
      <c r="F57" s="110">
        <f>RGPS_Valor_Dezembro_Cálculo!F57/RGPS_Valor_Dezembro_Cálculo!F12*'RGPS_Valor Acumulado'!F12</f>
        <v>2918.4106622684176</v>
      </c>
      <c r="G57" s="110">
        <f>RGPS_Valor_Dezembro_Cálculo!G57/RGPS_Valor_Dezembro_Cálculo!G12*'RGPS_Valor Acumulado'!G12</f>
        <v>3408.7164355484028</v>
      </c>
      <c r="H57" s="110">
        <f>RGPS_Valor_Dezembro_Cálculo!H57/RGPS_Valor_Dezembro_Cálculo!H12*'RGPS_Valor Acumulado'!H12</f>
        <v>4016.3326137438576</v>
      </c>
      <c r="I57" s="110">
        <f>RGPS_Valor_Dezembro_Cálculo!I57/RGPS_Valor_Dezembro_Cálculo!I12*'RGPS_Valor Acumulado'!I12</f>
        <v>4303.1928217660989</v>
      </c>
      <c r="J57" s="110">
        <f>RGPS_Valor_Dezembro_Cálculo!J57/RGPS_Valor_Dezembro_Cálculo!J12*'RGPS_Valor Acumulado'!J12</f>
        <v>4954.7356979706228</v>
      </c>
      <c r="K57" s="110">
        <f>RGPS_Valor_Dezembro_Cálculo!K57/RGPS_Valor_Dezembro_Cálculo!K12*'RGPS_Valor Acumulado'!K12</f>
        <v>5816.1985662228053</v>
      </c>
      <c r="L57" s="110">
        <f>RGPS_Valor_Dezembro_Cálculo!L57/RGPS_Valor_Dezembro_Cálculo!L12*'RGPS_Valor Acumulado'!L12</f>
        <v>6762.5291780026664</v>
      </c>
      <c r="M57" s="110">
        <f>RGPS_Valor_Dezembro_Cálculo!M57/RGPS_Valor_Dezembro_Cálculo!M12*'RGPS_Valor Acumulado'!M12</f>
        <v>7562.0851787192587</v>
      </c>
      <c r="N57" s="110">
        <f>RGPS_Valor_Dezembro_Cálculo!N57/RGPS_Valor_Dezembro_Cálculo!N12*'RGPS_Valor Acumulado'!N12</f>
        <v>8470.3168628197909</v>
      </c>
      <c r="O57" s="110">
        <f>RGPS_Valor_Dezembro_Cálculo!O57/RGPS_Valor_Dezembro_Cálculo!O12*'RGPS_Valor Acumulado'!O12</f>
        <v>9679.0094427860076</v>
      </c>
      <c r="P57" s="110">
        <f>RGPS_Valor_Dezembro_Cálculo!P57/RGPS_Valor_Dezembro_Cálculo!P12*'RGPS_Valor Acumulado'!P12</f>
        <v>10764.542570700076</v>
      </c>
      <c r="Q57" s="111">
        <f>RGPS_Valor_Dezembro_Cálculo!Q57/RGPS_Valor_Dezembro_Cálculo!Q12*'RGPS_Valor Acumulado'!Q12</f>
        <v>46.418963512869219</v>
      </c>
      <c r="R57" s="112">
        <f>RGPS_Valor_Dezembro_Cálculo!R57/RGPS_Valor_Dezembro_Cálculo!R12*'RGPS_Valor Acumulado'!R12</f>
        <v>63.756932171760184</v>
      </c>
      <c r="S57" s="112">
        <f>RGPS_Valor_Dezembro_Cálculo!S57/RGPS_Valor_Dezembro_Cálculo!S12*'RGPS_Valor Acumulado'!S12</f>
        <v>71.948610358749519</v>
      </c>
      <c r="T57" s="112">
        <f>RGPS_Valor_Dezembro_Cálculo!T57/RGPS_Valor_Dezembro_Cálculo!T12*'RGPS_Valor Acumulado'!T12</f>
        <v>73.08463350945442</v>
      </c>
      <c r="U57" s="112">
        <f>RGPS_Valor_Dezembro_Cálculo!U57/RGPS_Valor_Dezembro_Cálculo!U12*'RGPS_Valor Acumulado'!U12</f>
        <v>69.771719931170892</v>
      </c>
      <c r="V57" s="112">
        <f>RGPS_Valor_Dezembro_Cálculo!V57/RGPS_Valor_Dezembro_Cálculo!V12*'RGPS_Valor Acumulado'!V12</f>
        <v>67.812039417739427</v>
      </c>
      <c r="W57" s="112">
        <f>RGPS_Valor_Dezembro_Cálculo!W57/RGPS_Valor_Dezembro_Cálculo!W12*'RGPS_Valor Acumulado'!W12</f>
        <v>67.278396003075855</v>
      </c>
      <c r="X57" s="112">
        <f>RGPS_Valor_Dezembro_Cálculo!X57/RGPS_Valor_Dezembro_Cálculo!X12*'RGPS_Valor Acumulado'!X12</f>
        <v>67.510284134701735</v>
      </c>
      <c r="Y57" s="112">
        <f>RGPS_Valor_Dezembro_Cálculo!Y57/RGPS_Valor_Dezembro_Cálculo!Y12*'RGPS_Valor Acumulado'!Y12</f>
        <v>70.140914214383216</v>
      </c>
      <c r="Z57" s="112">
        <f>RGPS_Valor_Dezembro_Cálculo!Z57/RGPS_Valor_Dezembro_Cálculo!Z12*'RGPS_Valor Acumulado'!Z12</f>
        <v>72.098728167530155</v>
      </c>
      <c r="AA57" s="112">
        <f>RGPS_Valor_Dezembro_Cálculo!AA57/RGPS_Valor_Dezembro_Cálculo!AA12*'RGPS_Valor Acumulado'!AA12</f>
        <v>69.907210754956054</v>
      </c>
      <c r="AB57" s="112">
        <f>RGPS_Valor_Dezembro_Cálculo!AB57/RGPS_Valor_Dezembro_Cálculo!AB12*'RGPS_Valor Acumulado'!AB12</f>
        <v>72.285763941042703</v>
      </c>
      <c r="AC57" s="112">
        <f>RGPS_Valor_Dezembro_Cálculo!AC57/RGPS_Valor_Dezembro_Cálculo!AC12*'RGPS_Valor Acumulado'!AC12</f>
        <v>74.760940641289878</v>
      </c>
      <c r="AD57" s="109">
        <f t="shared" si="43"/>
        <v>1833.9432819213316</v>
      </c>
      <c r="AE57" s="109">
        <f t="shared" si="31"/>
        <v>2454.8503973437114</v>
      </c>
      <c r="AF57" s="109">
        <f t="shared" si="32"/>
        <v>2990.3592726271672</v>
      </c>
      <c r="AG57" s="109">
        <f t="shared" si="33"/>
        <v>3481.8010690578571</v>
      </c>
      <c r="AH57" s="109">
        <f t="shared" si="34"/>
        <v>4086.1043336750286</v>
      </c>
      <c r="AI57" s="109">
        <f t="shared" si="35"/>
        <v>4371.0048611838383</v>
      </c>
      <c r="AJ57" s="109">
        <f t="shared" si="36"/>
        <v>5022.0140939736984</v>
      </c>
      <c r="AK57" s="109">
        <f t="shared" si="37"/>
        <v>5883.7088503575069</v>
      </c>
      <c r="AL57" s="109">
        <f t="shared" si="38"/>
        <v>6832.6700922170494</v>
      </c>
      <c r="AM57" s="109">
        <f t="shared" si="39"/>
        <v>7634.1839068867885</v>
      </c>
      <c r="AN57" s="109">
        <f t="shared" si="40"/>
        <v>8540.2240735747473</v>
      </c>
      <c r="AO57" s="109">
        <f t="shared" si="41"/>
        <v>9751.2952067270508</v>
      </c>
      <c r="AP57" s="109">
        <f t="shared" si="42"/>
        <v>10839.303511341366</v>
      </c>
    </row>
    <row r="58" spans="2:42">
      <c r="B58" s="106" t="s">
        <v>24</v>
      </c>
      <c r="C58" s="37" t="s">
        <v>22</v>
      </c>
      <c r="D58" s="110">
        <f>D14</f>
        <v>5105.6812452276026</v>
      </c>
      <c r="E58" s="110">
        <f t="shared" ref="E58:AC58" si="46">E14</f>
        <v>5969.077138351473</v>
      </c>
      <c r="F58" s="110">
        <f t="shared" si="46"/>
        <v>6679.4223695712826</v>
      </c>
      <c r="G58" s="110">
        <f t="shared" si="46"/>
        <v>7828.6893147100573</v>
      </c>
      <c r="H58" s="110">
        <f t="shared" si="46"/>
        <v>9356.3244631409216</v>
      </c>
      <c r="I58" s="110">
        <f t="shared" si="46"/>
        <v>10444.700180617318</v>
      </c>
      <c r="J58" s="110">
        <f t="shared" si="46"/>
        <v>11700.122287917344</v>
      </c>
      <c r="K58" s="110">
        <f t="shared" si="46"/>
        <v>13684.65749952469</v>
      </c>
      <c r="L58" s="110">
        <f t="shared" si="46"/>
        <v>15023.352254769074</v>
      </c>
      <c r="M58" s="110">
        <f t="shared" si="46"/>
        <v>15960.154139163871</v>
      </c>
      <c r="N58" s="110">
        <f t="shared" si="46"/>
        <v>19181.141265742513</v>
      </c>
      <c r="O58" s="110">
        <f t="shared" si="46"/>
        <v>21049.89566380197</v>
      </c>
      <c r="P58" s="110">
        <f t="shared" si="46"/>
        <v>22686.007079637791</v>
      </c>
      <c r="Q58" s="111">
        <f t="shared" si="46"/>
        <v>4173.6223481039251</v>
      </c>
      <c r="R58" s="112">
        <f t="shared" si="46"/>
        <v>5055.0134575257653</v>
      </c>
      <c r="S58" s="112">
        <f t="shared" si="46"/>
        <v>5714.5985747900977</v>
      </c>
      <c r="T58" s="112">
        <f t="shared" si="46"/>
        <v>6536.1418427373619</v>
      </c>
      <c r="U58" s="112">
        <f t="shared" si="46"/>
        <v>7643.6849922712117</v>
      </c>
      <c r="V58" s="112">
        <f t="shared" si="46"/>
        <v>8483.7632218565923</v>
      </c>
      <c r="W58" s="112">
        <f t="shared" si="46"/>
        <v>9512.245118439585</v>
      </c>
      <c r="X58" s="112">
        <f t="shared" si="46"/>
        <v>11094.317017666493</v>
      </c>
      <c r="Y58" s="112">
        <f t="shared" si="46"/>
        <v>12426.777947889392</v>
      </c>
      <c r="Z58" s="112">
        <f t="shared" si="46"/>
        <v>13427.374111677527</v>
      </c>
      <c r="AA58" s="112">
        <f t="shared" si="46"/>
        <v>15634.708631456233</v>
      </c>
      <c r="AB58" s="112">
        <f t="shared" si="46"/>
        <v>17415.444512103248</v>
      </c>
      <c r="AC58" s="112">
        <f t="shared" si="46"/>
        <v>19030.216868374591</v>
      </c>
      <c r="AD58" s="109">
        <f t="shared" si="43"/>
        <v>9279.3035933315277</v>
      </c>
      <c r="AE58" s="109">
        <f t="shared" si="31"/>
        <v>11024.090595877238</v>
      </c>
      <c r="AF58" s="109">
        <f t="shared" si="32"/>
        <v>12394.02094436138</v>
      </c>
      <c r="AG58" s="109">
        <f t="shared" si="33"/>
        <v>14364.831157447419</v>
      </c>
      <c r="AH58" s="109">
        <f t="shared" si="34"/>
        <v>17000.009455412132</v>
      </c>
      <c r="AI58" s="109">
        <f t="shared" si="35"/>
        <v>18928.46340247391</v>
      </c>
      <c r="AJ58" s="109">
        <f t="shared" si="36"/>
        <v>21212.367406356927</v>
      </c>
      <c r="AK58" s="109">
        <f t="shared" si="37"/>
        <v>24778.974517191185</v>
      </c>
      <c r="AL58" s="109">
        <f t="shared" si="38"/>
        <v>27450.130202658467</v>
      </c>
      <c r="AM58" s="109">
        <f t="shared" si="39"/>
        <v>29387.528250841398</v>
      </c>
      <c r="AN58" s="109">
        <f t="shared" si="40"/>
        <v>34815.849897198743</v>
      </c>
      <c r="AO58" s="109">
        <f t="shared" si="41"/>
        <v>38465.340175905221</v>
      </c>
      <c r="AP58" s="109">
        <f t="shared" si="42"/>
        <v>41716.223948012383</v>
      </c>
    </row>
    <row r="59" spans="2:42">
      <c r="B59" s="106"/>
      <c r="C59" s="37" t="s">
        <v>40</v>
      </c>
      <c r="D59" s="110">
        <f>RGPS_Valor_Dezembro_Cálculo!D59/RGPS_Valor_Dezembro_Cálculo!D15*'RGPS_Valor Acumulado'!D15</f>
        <v>4032.1006921710464</v>
      </c>
      <c r="E59" s="110">
        <f>RGPS_Valor_Dezembro_Cálculo!E59/RGPS_Valor_Dezembro_Cálculo!E15*'RGPS_Valor Acumulado'!E15</f>
        <v>4997.3777269345719</v>
      </c>
      <c r="F59" s="110">
        <f>RGPS_Valor_Dezembro_Cálculo!F59/RGPS_Valor_Dezembro_Cálculo!F15*'RGPS_Valor Acumulado'!F15</f>
        <v>5898.5390945078298</v>
      </c>
      <c r="G59" s="110">
        <f>RGPS_Valor_Dezembro_Cálculo!G59/RGPS_Valor_Dezembro_Cálculo!G15*'RGPS_Valor Acumulado'!G15</f>
        <v>6478.7367159122623</v>
      </c>
      <c r="H59" s="110">
        <f>RGPS_Valor_Dezembro_Cálculo!H59/RGPS_Valor_Dezembro_Cálculo!H15*'RGPS_Valor Acumulado'!H15</f>
        <v>7382.0687473635553</v>
      </c>
      <c r="I59" s="110">
        <f>RGPS_Valor_Dezembro_Cálculo!I59/RGPS_Valor_Dezembro_Cálculo!I15*'RGPS_Valor Acumulado'!I15</f>
        <v>8078.9137576246476</v>
      </c>
      <c r="J59" s="110">
        <f>RGPS_Valor_Dezembro_Cálculo!J59/RGPS_Valor_Dezembro_Cálculo!J15*'RGPS_Valor Acumulado'!J15</f>
        <v>9136.6000139440312</v>
      </c>
      <c r="K59" s="110">
        <f>RGPS_Valor_Dezembro_Cálculo!K59/RGPS_Valor_Dezembro_Cálculo!K15*'RGPS_Valor Acumulado'!K15</f>
        <v>10571.892849801912</v>
      </c>
      <c r="L59" s="110">
        <f>RGPS_Valor_Dezembro_Cálculo!L59/RGPS_Valor_Dezembro_Cálculo!L15*'RGPS_Valor Acumulado'!L15</f>
        <v>12255.882551909397</v>
      </c>
      <c r="M59" s="110">
        <f>RGPS_Valor_Dezembro_Cálculo!M59/RGPS_Valor_Dezembro_Cálculo!M15*'RGPS_Valor Acumulado'!M15</f>
        <v>13690.998113239659</v>
      </c>
      <c r="N59" s="110">
        <f>RGPS_Valor_Dezembro_Cálculo!N59/RGPS_Valor_Dezembro_Cálculo!N15*'RGPS_Valor Acumulado'!N15</f>
        <v>15356.044292371766</v>
      </c>
      <c r="O59" s="110">
        <f>RGPS_Valor_Dezembro_Cálculo!O59/RGPS_Valor_Dezembro_Cálculo!O15*'RGPS_Valor Acumulado'!O15</f>
        <v>17418.560584442897</v>
      </c>
      <c r="P59" s="110">
        <f>RGPS_Valor_Dezembro_Cálculo!P59/RGPS_Valor_Dezembro_Cálculo!P15*'RGPS_Valor Acumulado'!P15</f>
        <v>19394.96522905468</v>
      </c>
      <c r="Q59" s="111">
        <f>RGPS_Valor_Dezembro_Cálculo!Q59/RGPS_Valor_Dezembro_Cálculo!Q15*'RGPS_Valor Acumulado'!Q15</f>
        <v>70.180804342575499</v>
      </c>
      <c r="R59" s="112">
        <f>RGPS_Valor_Dezembro_Cálculo!R59/RGPS_Valor_Dezembro_Cálculo!R15*'RGPS_Valor Acumulado'!R15</f>
        <v>92.768474564003711</v>
      </c>
      <c r="S59" s="112">
        <f>RGPS_Valor_Dezembro_Cálculo!S59/RGPS_Valor_Dezembro_Cálculo!S15*'RGPS_Valor Acumulado'!S15</f>
        <v>103.21830787965277</v>
      </c>
      <c r="T59" s="112">
        <f>RGPS_Valor_Dezembro_Cálculo!T59/RGPS_Valor_Dezembro_Cálculo!T15*'RGPS_Valor Acumulado'!T15</f>
        <v>97.488418539563781</v>
      </c>
      <c r="U59" s="112">
        <f>RGPS_Valor_Dezembro_Cálculo!U59/RGPS_Valor_Dezembro_Cálculo!U15*'RGPS_Valor Acumulado'!U15</f>
        <v>96.955099226461314</v>
      </c>
      <c r="V59" s="112">
        <f>RGPS_Valor_Dezembro_Cálculo!V59/RGPS_Valor_Dezembro_Cálculo!V15*'RGPS_Valor Acumulado'!V15</f>
        <v>97.617963647452811</v>
      </c>
      <c r="W59" s="112">
        <f>RGPS_Valor_Dezembro_Cálculo!W59/RGPS_Valor_Dezembro_Cálculo!W15*'RGPS_Valor Acumulado'!W15</f>
        <v>104.70725050598789</v>
      </c>
      <c r="X59" s="112">
        <f>RGPS_Valor_Dezembro_Cálculo!X59/RGPS_Valor_Dezembro_Cálculo!X15*'RGPS_Valor Acumulado'!X15</f>
        <v>113.24628481594246</v>
      </c>
      <c r="Y59" s="112">
        <f>RGPS_Valor_Dezembro_Cálculo!Y59/RGPS_Valor_Dezembro_Cálculo!Y15*'RGPS_Valor Acumulado'!Y15</f>
        <v>130.96967329591473</v>
      </c>
      <c r="Z59" s="112">
        <f>RGPS_Valor_Dezembro_Cálculo!Z59/RGPS_Valor_Dezembro_Cálculo!Z15*'RGPS_Valor Acumulado'!Z15</f>
        <v>142.21068386827864</v>
      </c>
      <c r="AA59" s="112">
        <f>RGPS_Valor_Dezembro_Cálculo!AA59/RGPS_Valor_Dezembro_Cálculo!AA15*'RGPS_Valor Acumulado'!AA15</f>
        <v>139.55466586476865</v>
      </c>
      <c r="AB59" s="112">
        <f>RGPS_Valor_Dezembro_Cálculo!AB59/RGPS_Valor_Dezembro_Cálculo!AB15*'RGPS_Valor Acumulado'!AB15</f>
        <v>154.3898942087022</v>
      </c>
      <c r="AC59" s="112">
        <f>RGPS_Valor_Dezembro_Cálculo!AC59/RGPS_Valor_Dezembro_Cálculo!AC15*'RGPS_Valor Acumulado'!AC15</f>
        <v>166.79488914370194</v>
      </c>
      <c r="AD59" s="109">
        <f t="shared" si="43"/>
        <v>4102.2814965136222</v>
      </c>
      <c r="AE59" s="109">
        <f t="shared" si="31"/>
        <v>5090.1462014985755</v>
      </c>
      <c r="AF59" s="109">
        <f t="shared" si="32"/>
        <v>6001.7574023874822</v>
      </c>
      <c r="AG59" s="109">
        <f t="shared" si="33"/>
        <v>6576.2251344518263</v>
      </c>
      <c r="AH59" s="109">
        <f t="shared" si="34"/>
        <v>7479.0238465900165</v>
      </c>
      <c r="AI59" s="109">
        <f t="shared" si="35"/>
        <v>8176.5317212721002</v>
      </c>
      <c r="AJ59" s="109">
        <f t="shared" si="36"/>
        <v>9241.3072644500189</v>
      </c>
      <c r="AK59" s="109">
        <f t="shared" si="37"/>
        <v>10685.139134617855</v>
      </c>
      <c r="AL59" s="109">
        <f t="shared" si="38"/>
        <v>12386.852225205312</v>
      </c>
      <c r="AM59" s="109">
        <f t="shared" si="39"/>
        <v>13833.208797107938</v>
      </c>
      <c r="AN59" s="109">
        <f t="shared" si="40"/>
        <v>15495.598958236535</v>
      </c>
      <c r="AO59" s="109">
        <f t="shared" si="41"/>
        <v>17572.950478651601</v>
      </c>
      <c r="AP59" s="109">
        <f t="shared" si="42"/>
        <v>19561.760118198381</v>
      </c>
    </row>
    <row r="60" spans="2:42">
      <c r="B60" s="106" t="s">
        <v>49</v>
      </c>
      <c r="C60" s="37" t="s">
        <v>22</v>
      </c>
      <c r="D60" s="110">
        <f>D17</f>
        <v>371.58367145057224</v>
      </c>
      <c r="E60" s="110">
        <f t="shared" ref="E60:AC60" si="47">E17</f>
        <v>490.07848390897004</v>
      </c>
      <c r="F60" s="110">
        <f t="shared" si="47"/>
        <v>825.84352514902321</v>
      </c>
      <c r="G60" s="110">
        <f t="shared" si="47"/>
        <v>1198.1160043985174</v>
      </c>
      <c r="H60" s="110">
        <f t="shared" si="47"/>
        <v>1453.8837833284788</v>
      </c>
      <c r="I60" s="110">
        <f t="shared" si="47"/>
        <v>1728.7363617038484</v>
      </c>
      <c r="J60" s="110">
        <f t="shared" si="47"/>
        <v>1721.3915306471711</v>
      </c>
      <c r="K60" s="110">
        <f t="shared" si="47"/>
        <v>1992.6219104405718</v>
      </c>
      <c r="L60" s="110">
        <f t="shared" si="47"/>
        <v>2191.230774414149</v>
      </c>
      <c r="M60" s="110">
        <f t="shared" si="47"/>
        <v>2617.6801977228115</v>
      </c>
      <c r="N60" s="110">
        <f t="shared" si="47"/>
        <v>3540.7496442349138</v>
      </c>
      <c r="O60" s="110">
        <f t="shared" si="47"/>
        <v>4117.725999832337</v>
      </c>
      <c r="P60" s="110">
        <f t="shared" si="47"/>
        <v>4632.6999815838326</v>
      </c>
      <c r="Q60" s="111">
        <f t="shared" si="47"/>
        <v>235.7636700952477</v>
      </c>
      <c r="R60" s="112">
        <f t="shared" si="47"/>
        <v>341.51538213734511</v>
      </c>
      <c r="S60" s="112">
        <f t="shared" si="47"/>
        <v>451.87394098882862</v>
      </c>
      <c r="T60" s="112">
        <f t="shared" si="47"/>
        <v>554.08545892685754</v>
      </c>
      <c r="U60" s="112">
        <f t="shared" si="47"/>
        <v>535.82212204681252</v>
      </c>
      <c r="V60" s="112">
        <f t="shared" si="47"/>
        <v>607.41639840843914</v>
      </c>
      <c r="W60" s="112">
        <f t="shared" si="47"/>
        <v>634.59672123364112</v>
      </c>
      <c r="X60" s="112">
        <f t="shared" si="47"/>
        <v>719.28954637171978</v>
      </c>
      <c r="Y60" s="112">
        <f t="shared" si="47"/>
        <v>828.94610227230692</v>
      </c>
      <c r="Z60" s="112">
        <f t="shared" si="47"/>
        <v>1005.3101747501089</v>
      </c>
      <c r="AA60" s="112">
        <f t="shared" si="47"/>
        <v>1228.1954606249883</v>
      </c>
      <c r="AB60" s="112">
        <f t="shared" si="47"/>
        <v>1468.6028576940791</v>
      </c>
      <c r="AC60" s="112">
        <f t="shared" si="47"/>
        <v>1719.8466278160899</v>
      </c>
      <c r="AD60" s="109">
        <f t="shared" si="43"/>
        <v>607.34734154581997</v>
      </c>
      <c r="AE60" s="109">
        <f t="shared" si="31"/>
        <v>831.59386604631516</v>
      </c>
      <c r="AF60" s="109">
        <f t="shared" si="32"/>
        <v>1277.7174661378517</v>
      </c>
      <c r="AG60" s="109">
        <f t="shared" si="33"/>
        <v>1752.2014633253748</v>
      </c>
      <c r="AH60" s="109">
        <f t="shared" si="34"/>
        <v>1989.7059053752914</v>
      </c>
      <c r="AI60" s="109">
        <f t="shared" si="35"/>
        <v>2336.1527601122875</v>
      </c>
      <c r="AJ60" s="109">
        <f t="shared" si="36"/>
        <v>2355.9882518808122</v>
      </c>
      <c r="AK60" s="109">
        <f t="shared" si="37"/>
        <v>2711.9114568122914</v>
      </c>
      <c r="AL60" s="109">
        <f t="shared" si="38"/>
        <v>3020.1768766864561</v>
      </c>
      <c r="AM60" s="109">
        <f t="shared" si="39"/>
        <v>3622.9903724729202</v>
      </c>
      <c r="AN60" s="109">
        <f t="shared" si="40"/>
        <v>4768.9451048599021</v>
      </c>
      <c r="AO60" s="109">
        <f t="shared" si="41"/>
        <v>5586.328857526416</v>
      </c>
      <c r="AP60" s="109">
        <f t="shared" si="42"/>
        <v>6352.5466093999221</v>
      </c>
    </row>
    <row r="61" spans="2:42">
      <c r="B61" s="106"/>
      <c r="C61" s="37" t="s">
        <v>40</v>
      </c>
      <c r="D61" s="110">
        <f>RGPS_Valor_Dezembro_Cálculo!D61/RGPS_Valor_Dezembro_Cálculo!D18*'RGPS_Valor Acumulado'!D18</f>
        <v>1374.3468109041216</v>
      </c>
      <c r="E61" s="110">
        <f>RGPS_Valor_Dezembro_Cálculo!E61/RGPS_Valor_Dezembro_Cálculo!E18*'RGPS_Valor Acumulado'!E18</f>
        <v>2131.128794466958</v>
      </c>
      <c r="F61" s="110">
        <f>RGPS_Valor_Dezembro_Cálculo!F61/RGPS_Valor_Dezembro_Cálculo!F18*'RGPS_Valor Acumulado'!F18</f>
        <v>3068.6245138801551</v>
      </c>
      <c r="G61" s="110">
        <f>RGPS_Valor_Dezembro_Cálculo!G61/RGPS_Valor_Dezembro_Cálculo!G18*'RGPS_Valor Acumulado'!G18</f>
        <v>4018.9987204984568</v>
      </c>
      <c r="H61" s="110">
        <f>RGPS_Valor_Dezembro_Cálculo!H61/RGPS_Valor_Dezembro_Cálculo!H18*'RGPS_Valor Acumulado'!H18</f>
        <v>4086.1998301378849</v>
      </c>
      <c r="I61" s="110">
        <f>RGPS_Valor_Dezembro_Cálculo!I61/RGPS_Valor_Dezembro_Cálculo!I18*'RGPS_Valor Acumulado'!I18</f>
        <v>4574.2684611563118</v>
      </c>
      <c r="J61" s="110">
        <f>RGPS_Valor_Dezembro_Cálculo!J61/RGPS_Valor_Dezembro_Cálculo!J18*'RGPS_Valor Acumulado'!J18</f>
        <v>4378.3697230481575</v>
      </c>
      <c r="K61" s="110">
        <f>RGPS_Valor_Dezembro_Cálculo!K61/RGPS_Valor_Dezembro_Cálculo!K18*'RGPS_Valor Acumulado'!K18</f>
        <v>4439.7809085917697</v>
      </c>
      <c r="L61" s="110">
        <f>RGPS_Valor_Dezembro_Cálculo!L61/RGPS_Valor_Dezembro_Cálculo!L18*'RGPS_Valor Acumulado'!L18</f>
        <v>4805.9482836144816</v>
      </c>
      <c r="M61" s="110">
        <f>RGPS_Valor_Dezembro_Cálculo!M61/RGPS_Valor_Dezembro_Cálculo!M18*'RGPS_Valor Acumulado'!M18</f>
        <v>5797.8312686781419</v>
      </c>
      <c r="N61" s="110">
        <f>RGPS_Valor_Dezembro_Cálculo!N61/RGPS_Valor_Dezembro_Cálculo!N18*'RGPS_Valor Acumulado'!N18</f>
        <v>6283.6829738816823</v>
      </c>
      <c r="O61" s="110">
        <f>RGPS_Valor_Dezembro_Cálculo!O61/RGPS_Valor_Dezembro_Cálculo!O18*'RGPS_Valor Acumulado'!O18</f>
        <v>7227.833120995123</v>
      </c>
      <c r="P61" s="110">
        <f>RGPS_Valor_Dezembro_Cálculo!P61/RGPS_Valor_Dezembro_Cálculo!P18*'RGPS_Valor Acumulado'!P18</f>
        <v>8084.1839371581427</v>
      </c>
      <c r="Q61" s="111">
        <f>RGPS_Valor_Dezembro_Cálculo!Q61/RGPS_Valor_Dezembro_Cálculo!Q18*'RGPS_Valor Acumulado'!Q18</f>
        <v>33.563777998327339</v>
      </c>
      <c r="R61" s="112">
        <f>RGPS_Valor_Dezembro_Cálculo!R61/RGPS_Valor_Dezembro_Cálculo!R18*'RGPS_Valor Acumulado'!R18</f>
        <v>34.314207781822674</v>
      </c>
      <c r="S61" s="112">
        <f>RGPS_Valor_Dezembro_Cálculo!S61/RGPS_Valor_Dezembro_Cálculo!S18*'RGPS_Valor Acumulado'!S18</f>
        <v>34.776581617067166</v>
      </c>
      <c r="T61" s="112">
        <f>RGPS_Valor_Dezembro_Cálculo!T61/RGPS_Valor_Dezembro_Cálculo!T18*'RGPS_Valor Acumulado'!T18</f>
        <v>27.155745924908672</v>
      </c>
      <c r="U61" s="112">
        <f>RGPS_Valor_Dezembro_Cálculo!U61/RGPS_Valor_Dezembro_Cálculo!U18*'RGPS_Valor Acumulado'!U18</f>
        <v>14.433264869558744</v>
      </c>
      <c r="V61" s="112">
        <f>RGPS_Valor_Dezembro_Cálculo!V61/RGPS_Valor_Dezembro_Cálculo!V18*'RGPS_Valor Acumulado'!V18</f>
        <v>10.003343415531985</v>
      </c>
      <c r="W61" s="112">
        <f>RGPS_Valor_Dezembro_Cálculo!W61/RGPS_Valor_Dezembro_Cálculo!W18*'RGPS_Valor Acumulado'!W18</f>
        <v>5.715374861547998</v>
      </c>
      <c r="X61" s="112">
        <f>RGPS_Valor_Dezembro_Cálculo!X61/RGPS_Valor_Dezembro_Cálculo!X18*'RGPS_Valor Acumulado'!X18</f>
        <v>4.2856277840740917</v>
      </c>
      <c r="Y61" s="112">
        <f>RGPS_Valor_Dezembro_Cálculo!Y61/RGPS_Valor_Dezembro_Cálculo!Y18*'RGPS_Valor Acumulado'!Y18</f>
        <v>3.6457044115157711</v>
      </c>
      <c r="Z61" s="112">
        <f>RGPS_Valor_Dezembro_Cálculo!Z61/RGPS_Valor_Dezembro_Cálculo!Z18*'RGPS_Valor Acumulado'!Z18</f>
        <v>3.8144958091722527</v>
      </c>
      <c r="AA61" s="112">
        <f>RGPS_Valor_Dezembro_Cálculo!AA61/RGPS_Valor_Dezembro_Cálculo!AA18*'RGPS_Valor Acumulado'!AA18</f>
        <v>3.5070438866383626</v>
      </c>
      <c r="AB61" s="112">
        <f>RGPS_Valor_Dezembro_Cálculo!AB61/RGPS_Valor_Dezembro_Cálculo!AB18*'RGPS_Valor Acumulado'!AB18</f>
        <v>3.6107531449475445</v>
      </c>
      <c r="AC61" s="112">
        <f>RGPS_Valor_Dezembro_Cálculo!AC61/RGPS_Valor_Dezembro_Cálculo!AC18*'RGPS_Valor Acumulado'!AC18</f>
        <v>3.5975958981928691</v>
      </c>
      <c r="AD61" s="109">
        <f t="shared" si="43"/>
        <v>1407.910588902449</v>
      </c>
      <c r="AE61" s="109">
        <f t="shared" si="31"/>
        <v>2165.4430022487804</v>
      </c>
      <c r="AF61" s="109">
        <f t="shared" si="32"/>
        <v>3103.4010954972223</v>
      </c>
      <c r="AG61" s="109">
        <f t="shared" si="33"/>
        <v>4046.1544664233656</v>
      </c>
      <c r="AH61" s="109">
        <f t="shared" si="34"/>
        <v>4100.6330950074434</v>
      </c>
      <c r="AI61" s="109">
        <f t="shared" si="35"/>
        <v>4584.2718045718439</v>
      </c>
      <c r="AJ61" s="109">
        <f t="shared" si="36"/>
        <v>4384.0850979097058</v>
      </c>
      <c r="AK61" s="109">
        <f t="shared" si="37"/>
        <v>4444.0665363758435</v>
      </c>
      <c r="AL61" s="109">
        <f t="shared" si="38"/>
        <v>4809.5939880259975</v>
      </c>
      <c r="AM61" s="109">
        <f t="shared" si="39"/>
        <v>5801.6457644873144</v>
      </c>
      <c r="AN61" s="109">
        <f t="shared" si="40"/>
        <v>6287.190017768321</v>
      </c>
      <c r="AO61" s="109">
        <f t="shared" si="41"/>
        <v>7231.4438741400709</v>
      </c>
      <c r="AP61" s="109">
        <f t="shared" si="42"/>
        <v>8087.7815330563353</v>
      </c>
    </row>
    <row r="62" spans="2:42">
      <c r="B62" s="106" t="s">
        <v>50</v>
      </c>
      <c r="C62" s="37" t="s">
        <v>22</v>
      </c>
      <c r="D62" s="110">
        <f>D20</f>
        <v>230.15060768413338</v>
      </c>
      <c r="E62" s="110">
        <f t="shared" ref="E62:AC62" si="48">E20</f>
        <v>268.25876939959045</v>
      </c>
      <c r="F62" s="110">
        <f t="shared" si="48"/>
        <v>305.73476294194774</v>
      </c>
      <c r="G62" s="110">
        <f t="shared" si="48"/>
        <v>362.55137227487631</v>
      </c>
      <c r="H62" s="110">
        <f t="shared" si="48"/>
        <v>443.4797694751789</v>
      </c>
      <c r="I62" s="110">
        <f t="shared" si="48"/>
        <v>491.57138418850292</v>
      </c>
      <c r="J62" s="110">
        <f t="shared" si="48"/>
        <v>548.11298860179545</v>
      </c>
      <c r="K62" s="110">
        <f t="shared" si="48"/>
        <v>634.45745177066749</v>
      </c>
      <c r="L62" s="110">
        <f t="shared" si="48"/>
        <v>720.80984159678985</v>
      </c>
      <c r="M62" s="110">
        <f t="shared" si="48"/>
        <v>795.90729695815935</v>
      </c>
      <c r="N62" s="110">
        <f t="shared" si="48"/>
        <v>974.82249621812309</v>
      </c>
      <c r="O62" s="110">
        <f t="shared" si="48"/>
        <v>1113.512003827793</v>
      </c>
      <c r="P62" s="110">
        <f t="shared" si="48"/>
        <v>1269.6293377337918</v>
      </c>
      <c r="Q62" s="111">
        <f t="shared" si="48"/>
        <v>7.7034456274285619</v>
      </c>
      <c r="R62" s="112">
        <f t="shared" si="48"/>
        <v>10.208739948965881</v>
      </c>
      <c r="S62" s="112">
        <f t="shared" si="48"/>
        <v>12.679625897464469</v>
      </c>
      <c r="T62" s="112">
        <f t="shared" si="48"/>
        <v>16.17018377764148</v>
      </c>
      <c r="U62" s="112">
        <f t="shared" si="48"/>
        <v>22.428567487003566</v>
      </c>
      <c r="V62" s="112">
        <f t="shared" si="48"/>
        <v>27.644119779653572</v>
      </c>
      <c r="W62" s="112">
        <f t="shared" si="48"/>
        <v>33.181909990511656</v>
      </c>
      <c r="X62" s="112">
        <f t="shared" si="48"/>
        <v>40.695954629688359</v>
      </c>
      <c r="Y62" s="112">
        <f t="shared" si="48"/>
        <v>48.76725754047925</v>
      </c>
      <c r="Z62" s="112">
        <f t="shared" si="48"/>
        <v>56.509110674357501</v>
      </c>
      <c r="AA62" s="112">
        <f t="shared" si="48"/>
        <v>69.113597746659806</v>
      </c>
      <c r="AB62" s="112">
        <f t="shared" si="48"/>
        <v>80.745554027340987</v>
      </c>
      <c r="AC62" s="112">
        <f t="shared" si="48"/>
        <v>91.954839132228187</v>
      </c>
      <c r="AD62" s="109">
        <f t="shared" si="43"/>
        <v>237.85405331156193</v>
      </c>
      <c r="AE62" s="109">
        <f t="shared" si="31"/>
        <v>278.46750934855635</v>
      </c>
      <c r="AF62" s="109">
        <f t="shared" si="32"/>
        <v>318.4143888394122</v>
      </c>
      <c r="AG62" s="109">
        <f t="shared" si="33"/>
        <v>378.72155605251777</v>
      </c>
      <c r="AH62" s="109">
        <f t="shared" si="34"/>
        <v>465.90833696218249</v>
      </c>
      <c r="AI62" s="109">
        <f t="shared" si="35"/>
        <v>519.21550396815644</v>
      </c>
      <c r="AJ62" s="109">
        <f t="shared" si="36"/>
        <v>581.29489859230716</v>
      </c>
      <c r="AK62" s="109">
        <f t="shared" si="37"/>
        <v>675.15340640035583</v>
      </c>
      <c r="AL62" s="109">
        <f t="shared" si="38"/>
        <v>769.5770991372691</v>
      </c>
      <c r="AM62" s="109">
        <f t="shared" si="39"/>
        <v>852.41640763251689</v>
      </c>
      <c r="AN62" s="109">
        <f t="shared" si="40"/>
        <v>1043.9360939647829</v>
      </c>
      <c r="AO62" s="109">
        <f t="shared" si="41"/>
        <v>1194.2575578551341</v>
      </c>
      <c r="AP62" s="109">
        <f t="shared" si="42"/>
        <v>1361.58417686602</v>
      </c>
    </row>
    <row r="63" spans="2:42">
      <c r="B63" s="106"/>
      <c r="C63" s="37" t="s">
        <v>40</v>
      </c>
      <c r="D63" s="110">
        <f>RGPS_Valor_Dezembro_Cálculo!D63/RGPS_Valor_Dezembro_Cálculo!D21*'RGPS_Valor Acumulado'!D21</f>
        <v>221.58816901105556</v>
      </c>
      <c r="E63" s="110">
        <f>RGPS_Valor_Dezembro_Cálculo!E63/RGPS_Valor_Dezembro_Cálculo!E21*'RGPS_Valor Acumulado'!E21</f>
        <v>271.00214019055511</v>
      </c>
      <c r="F63" s="110">
        <f>RGPS_Valor_Dezembro_Cálculo!F63/RGPS_Valor_Dezembro_Cálculo!F21*'RGPS_Valor Acumulado'!F21</f>
        <v>309.64612745231739</v>
      </c>
      <c r="G63" s="110">
        <f>RGPS_Valor_Dezembro_Cálculo!G63/RGPS_Valor_Dezembro_Cálculo!G21*'RGPS_Valor Acumulado'!G21</f>
        <v>342.55760754116449</v>
      </c>
      <c r="H63" s="110">
        <f>RGPS_Valor_Dezembro_Cálculo!H63/RGPS_Valor_Dezembro_Cálculo!H21*'RGPS_Valor Acumulado'!H21</f>
        <v>375.62393481830208</v>
      </c>
      <c r="I63" s="110">
        <f>RGPS_Valor_Dezembro_Cálculo!I63/RGPS_Valor_Dezembro_Cálculo!I21*'RGPS_Valor Acumulado'!I21</f>
        <v>406.86047625941018</v>
      </c>
      <c r="J63" s="110">
        <f>RGPS_Valor_Dezembro_Cálculo!J63/RGPS_Valor_Dezembro_Cálculo!J21*'RGPS_Valor Acumulado'!J21</f>
        <v>446.55847202795223</v>
      </c>
      <c r="K63" s="110">
        <f>RGPS_Valor_Dezembro_Cálculo!K63/RGPS_Valor_Dezembro_Cálculo!K21*'RGPS_Valor Acumulado'!K21</f>
        <v>499.5888853010631</v>
      </c>
      <c r="L63" s="110">
        <f>RGPS_Valor_Dezembro_Cálculo!L63/RGPS_Valor_Dezembro_Cálculo!L21*'RGPS_Valor Acumulado'!L21</f>
        <v>568.91753448780287</v>
      </c>
      <c r="M63" s="110">
        <f>RGPS_Valor_Dezembro_Cálculo!M63/RGPS_Valor_Dezembro_Cálculo!M21*'RGPS_Valor Acumulado'!M21</f>
        <v>642.17585472151336</v>
      </c>
      <c r="N63" s="110">
        <f>RGPS_Valor_Dezembro_Cálculo!N63/RGPS_Valor_Dezembro_Cálculo!N21*'RGPS_Valor Acumulado'!N21</f>
        <v>713.32441144920642</v>
      </c>
      <c r="O63" s="110">
        <f>RGPS_Valor_Dezembro_Cálculo!O63/RGPS_Valor_Dezembro_Cálculo!O21*'RGPS_Valor Acumulado'!O21</f>
        <v>812.58134285590495</v>
      </c>
      <c r="P63" s="110">
        <f>RGPS_Valor_Dezembro_Cálculo!P63/RGPS_Valor_Dezembro_Cálculo!P21*'RGPS_Valor Acumulado'!P21</f>
        <v>921.1192213434814</v>
      </c>
      <c r="Q63" s="111">
        <f>RGPS_Valor_Dezembro_Cálculo!Q63/RGPS_Valor_Dezembro_Cálculo!Q21*'RGPS_Valor Acumulado'!Q21</f>
        <v>0.8550762212634665</v>
      </c>
      <c r="R63" s="112">
        <f>RGPS_Valor_Dezembro_Cálculo!R63/RGPS_Valor_Dezembro_Cálculo!R21*'RGPS_Valor Acumulado'!R21</f>
        <v>1.0821634534801745</v>
      </c>
      <c r="S63" s="112">
        <f>RGPS_Valor_Dezembro_Cálculo!S63/RGPS_Valor_Dezembro_Cálculo!S21*'RGPS_Valor Acumulado'!S21</f>
        <v>1.2011193266520093</v>
      </c>
      <c r="T63" s="112">
        <f>RGPS_Valor_Dezembro_Cálculo!T63/RGPS_Valor_Dezembro_Cálculo!T21*'RGPS_Valor Acumulado'!T21</f>
        <v>1.1882739216878446</v>
      </c>
      <c r="U63" s="112">
        <f>RGPS_Valor_Dezembro_Cálculo!U63/RGPS_Valor_Dezembro_Cálculo!U21*'RGPS_Valor Acumulado'!U21</f>
        <v>1.0262907454558432</v>
      </c>
      <c r="V63" s="112">
        <f>RGPS_Valor_Dezembro_Cálculo!V63/RGPS_Valor_Dezembro_Cálculo!V21*'RGPS_Valor Acumulado'!V21</f>
        <v>0.96303766381439704</v>
      </c>
      <c r="W63" s="112">
        <f>RGPS_Valor_Dezembro_Cálculo!W63/RGPS_Valor_Dezembro_Cálculo!W21*'RGPS_Valor Acumulado'!W21</f>
        <v>0.9373717023166751</v>
      </c>
      <c r="X63" s="112">
        <f>RGPS_Valor_Dezembro_Cálculo!X63/RGPS_Valor_Dezembro_Cálculo!X21*'RGPS_Valor Acumulado'!X21</f>
        <v>0.87461652938587664</v>
      </c>
      <c r="Y63" s="112">
        <f>RGPS_Valor_Dezembro_Cálculo!Y63/RGPS_Valor_Dezembro_Cálculo!Y21*'RGPS_Valor Acumulado'!Y21</f>
        <v>0.9115222711670149</v>
      </c>
      <c r="Z63" s="112">
        <f>RGPS_Valor_Dezembro_Cálculo!Z63/RGPS_Valor_Dezembro_Cálculo!Z21*'RGPS_Valor Acumulado'!Z21</f>
        <v>0.96044592107812377</v>
      </c>
      <c r="AA63" s="112">
        <f>RGPS_Valor_Dezembro_Cálculo!AA63/RGPS_Valor_Dezembro_Cálculo!AA21*'RGPS_Valor Acumulado'!AA21</f>
        <v>0.96013900953720976</v>
      </c>
      <c r="AB63" s="112">
        <f>RGPS_Valor_Dezembro_Cálculo!AB63/RGPS_Valor_Dezembro_Cálculo!AB21*'RGPS_Valor Acumulado'!AB21</f>
        <v>1.0098730518625563</v>
      </c>
      <c r="AC63" s="112">
        <f>RGPS_Valor_Dezembro_Cálculo!AC63/RGPS_Valor_Dezembro_Cálculo!AC21*'RGPS_Valor Acumulado'!AC21</f>
        <v>1.0492577144125774</v>
      </c>
      <c r="AD63" s="109">
        <f t="shared" si="43"/>
        <v>222.44324523231901</v>
      </c>
      <c r="AE63" s="109">
        <f t="shared" si="31"/>
        <v>272.08430364403529</v>
      </c>
      <c r="AF63" s="109">
        <f t="shared" si="32"/>
        <v>310.84724677896941</v>
      </c>
      <c r="AG63" s="109">
        <f t="shared" si="33"/>
        <v>343.74588146285231</v>
      </c>
      <c r="AH63" s="109">
        <f t="shared" si="34"/>
        <v>376.65022556375794</v>
      </c>
      <c r="AI63" s="109">
        <f t="shared" si="35"/>
        <v>407.8235139232246</v>
      </c>
      <c r="AJ63" s="109">
        <f t="shared" si="36"/>
        <v>447.49584373026892</v>
      </c>
      <c r="AK63" s="109">
        <f t="shared" si="37"/>
        <v>500.46350183044899</v>
      </c>
      <c r="AL63" s="109">
        <f t="shared" si="38"/>
        <v>569.82905675896984</v>
      </c>
      <c r="AM63" s="109">
        <f t="shared" si="39"/>
        <v>643.13630064259144</v>
      </c>
      <c r="AN63" s="109">
        <f t="shared" si="40"/>
        <v>714.28455045874364</v>
      </c>
      <c r="AO63" s="109">
        <f t="shared" si="41"/>
        <v>813.59121590776749</v>
      </c>
      <c r="AP63" s="109">
        <f t="shared" si="42"/>
        <v>922.16847905789393</v>
      </c>
    </row>
    <row r="64" spans="2:42">
      <c r="B64" s="106" t="s">
        <v>25</v>
      </c>
      <c r="C64" s="37" t="s">
        <v>22</v>
      </c>
      <c r="D64" s="110">
        <f>D23</f>
        <v>108.00053638174464</v>
      </c>
      <c r="E64" s="110">
        <f t="shared" ref="E64:AC64" si="49">E23</f>
        <v>272.10212048035754</v>
      </c>
      <c r="F64" s="110">
        <f t="shared" si="49"/>
        <v>128.55984094846241</v>
      </c>
      <c r="G64" s="110">
        <f t="shared" si="49"/>
        <v>154.13053970107836</v>
      </c>
      <c r="H64" s="110">
        <f t="shared" si="49"/>
        <v>181.74817391778222</v>
      </c>
      <c r="I64" s="110">
        <f t="shared" si="49"/>
        <v>192.77831630320981</v>
      </c>
      <c r="J64" s="110">
        <f t="shared" si="49"/>
        <v>228.18150156485004</v>
      </c>
      <c r="K64" s="110">
        <f t="shared" si="49"/>
        <v>294.64153077012162</v>
      </c>
      <c r="L64" s="110">
        <f t="shared" si="49"/>
        <v>348.86043980086856</v>
      </c>
      <c r="M64" s="110">
        <f t="shared" si="49"/>
        <v>358.86482511689508</v>
      </c>
      <c r="N64" s="110">
        <f t="shared" si="49"/>
        <v>489.14276263322569</v>
      </c>
      <c r="O64" s="110">
        <f t="shared" si="49"/>
        <v>672.35110416519478</v>
      </c>
      <c r="P64" s="110">
        <f t="shared" si="49"/>
        <v>719.2207328470638</v>
      </c>
      <c r="Q64" s="111">
        <f t="shared" si="49"/>
        <v>49.599076235150903</v>
      </c>
      <c r="R64" s="112">
        <f t="shared" si="49"/>
        <v>56.956318865196884</v>
      </c>
      <c r="S64" s="112">
        <f t="shared" si="49"/>
        <v>54.656713660377527</v>
      </c>
      <c r="T64" s="112">
        <f t="shared" si="49"/>
        <v>54.256729683449358</v>
      </c>
      <c r="U64" s="112">
        <f t="shared" si="49"/>
        <v>64.249080031735275</v>
      </c>
      <c r="V64" s="112">
        <f t="shared" si="49"/>
        <v>66.439901965806229</v>
      </c>
      <c r="W64" s="112">
        <f t="shared" si="49"/>
        <v>75.143040786587505</v>
      </c>
      <c r="X64" s="112">
        <f t="shared" si="49"/>
        <v>99.600747583858265</v>
      </c>
      <c r="Y64" s="112">
        <f t="shared" si="49"/>
        <v>106.41140725570419</v>
      </c>
      <c r="Z64" s="112">
        <f t="shared" si="49"/>
        <v>108.53942819776078</v>
      </c>
      <c r="AA64" s="112">
        <f t="shared" si="49"/>
        <v>111.98899662623926</v>
      </c>
      <c r="AB64" s="112">
        <f t="shared" si="49"/>
        <v>126.68771359728946</v>
      </c>
      <c r="AC64" s="112">
        <f t="shared" si="49"/>
        <v>129.05851619499859</v>
      </c>
      <c r="AD64" s="109">
        <f t="shared" si="43"/>
        <v>157.59961261689554</v>
      </c>
      <c r="AE64" s="109">
        <f t="shared" si="31"/>
        <v>329.0584393455544</v>
      </c>
      <c r="AF64" s="109">
        <f t="shared" si="32"/>
        <v>183.21655460883994</v>
      </c>
      <c r="AG64" s="109">
        <f t="shared" si="33"/>
        <v>208.38726938452771</v>
      </c>
      <c r="AH64" s="109">
        <f t="shared" si="34"/>
        <v>245.9972539495175</v>
      </c>
      <c r="AI64" s="109">
        <f t="shared" si="35"/>
        <v>259.21821826901601</v>
      </c>
      <c r="AJ64" s="109">
        <f t="shared" si="36"/>
        <v>303.32454235143757</v>
      </c>
      <c r="AK64" s="109">
        <f t="shared" si="37"/>
        <v>394.24227835397988</v>
      </c>
      <c r="AL64" s="109">
        <f t="shared" si="38"/>
        <v>455.27184705657277</v>
      </c>
      <c r="AM64" s="109">
        <f t="shared" si="39"/>
        <v>467.40425331465588</v>
      </c>
      <c r="AN64" s="109">
        <f t="shared" si="40"/>
        <v>601.13175925946496</v>
      </c>
      <c r="AO64" s="109">
        <f t="shared" si="41"/>
        <v>799.0388177624842</v>
      </c>
      <c r="AP64" s="109">
        <f t="shared" si="42"/>
        <v>848.27924904206236</v>
      </c>
    </row>
    <row r="65" spans="2:42">
      <c r="B65" s="106"/>
      <c r="C65" s="37" t="s">
        <v>40</v>
      </c>
      <c r="D65" s="110">
        <f>RGPS_Valor_Dezembro_Cálculo!D65/RGPS_Valor_Dezembro_Cálculo!D24*'RGPS_Valor Acumulado'!D24</f>
        <v>218.27812704108365</v>
      </c>
      <c r="E65" s="110">
        <f>RGPS_Valor_Dezembro_Cálculo!E65/RGPS_Valor_Dezembro_Cálculo!E24*'RGPS_Valor Acumulado'!E24</f>
        <v>188.68999150806596</v>
      </c>
      <c r="F65" s="110">
        <f>RGPS_Valor_Dezembro_Cálculo!F65/RGPS_Valor_Dezembro_Cálculo!F24*'RGPS_Valor Acumulado'!F24</f>
        <v>67.98942902572</v>
      </c>
      <c r="G65" s="110">
        <f>RGPS_Valor_Dezembro_Cálculo!G65/RGPS_Valor_Dezembro_Cálculo!G24*'RGPS_Valor Acumulado'!G24</f>
        <v>76.364320559874841</v>
      </c>
      <c r="H65" s="110">
        <f>RGPS_Valor_Dezembro_Cálculo!H65/RGPS_Valor_Dezembro_Cálculo!H24*'RGPS_Valor Acumulado'!H24</f>
        <v>83.744074982324349</v>
      </c>
      <c r="I65" s="110">
        <f>RGPS_Valor_Dezembro_Cálculo!I65/RGPS_Valor_Dezembro_Cálculo!I24*'RGPS_Valor Acumulado'!I24</f>
        <v>98.95288481900171</v>
      </c>
      <c r="J65" s="110">
        <f>RGPS_Valor_Dezembro_Cálculo!J65/RGPS_Valor_Dezembro_Cálculo!J24*'RGPS_Valor Acumulado'!J24</f>
        <v>126.05811883038102</v>
      </c>
      <c r="K65" s="110">
        <f>RGPS_Valor_Dezembro_Cálculo!K65/RGPS_Valor_Dezembro_Cálculo!K24*'RGPS_Valor Acumulado'!K24</f>
        <v>159.18110962716807</v>
      </c>
      <c r="L65" s="110">
        <f>RGPS_Valor_Dezembro_Cálculo!L65/RGPS_Valor_Dezembro_Cálculo!L24*'RGPS_Valor Acumulado'!L24</f>
        <v>200.56037422796268</v>
      </c>
      <c r="M65" s="110">
        <f>RGPS_Valor_Dezembro_Cálculo!M65/RGPS_Valor_Dezembro_Cálculo!M24*'RGPS_Valor Acumulado'!M24</f>
        <v>278.57233398245262</v>
      </c>
      <c r="N65" s="110">
        <f>RGPS_Valor_Dezembro_Cálculo!N65/RGPS_Valor_Dezembro_Cálculo!N24*'RGPS_Valor Acumulado'!N24</f>
        <v>282.8651481132236</v>
      </c>
      <c r="O65" s="110">
        <f>RGPS_Valor_Dezembro_Cálculo!O65/RGPS_Valor_Dezembro_Cálculo!O24*'RGPS_Valor Acumulado'!O24</f>
        <v>272.39495262395911</v>
      </c>
      <c r="P65" s="110">
        <f>RGPS_Valor_Dezembro_Cálculo!P65/RGPS_Valor_Dezembro_Cálculo!P24*'RGPS_Valor Acumulado'!P24</f>
        <v>275.75053674800398</v>
      </c>
      <c r="Q65" s="111">
        <f>RGPS_Valor_Dezembro_Cálculo!Q65/RGPS_Valor_Dezembro_Cálculo!Q24*'RGPS_Valor Acumulado'!Q24</f>
        <v>1.2691286920223217</v>
      </c>
      <c r="R65" s="112">
        <f>RGPS_Valor_Dezembro_Cálculo!R65/RGPS_Valor_Dezembro_Cálculo!R24*'RGPS_Valor Acumulado'!R24</f>
        <v>1.0249110500505094</v>
      </c>
      <c r="S65" s="112">
        <f>RGPS_Valor_Dezembro_Cálculo!S65/RGPS_Valor_Dezembro_Cálculo!S24*'RGPS_Valor Acumulado'!S24</f>
        <v>1.0819614384345788</v>
      </c>
      <c r="T65" s="112">
        <f>RGPS_Valor_Dezembro_Cálculo!T65/RGPS_Valor_Dezembro_Cálculo!T24*'RGPS_Valor Acumulado'!T24</f>
        <v>1.3174194046637697</v>
      </c>
      <c r="U65" s="112">
        <f>RGPS_Valor_Dezembro_Cálculo!U65/RGPS_Valor_Dezembro_Cálculo!U24*'RGPS_Valor Acumulado'!U24</f>
        <v>1.3213023641047539</v>
      </c>
      <c r="V65" s="112">
        <f>RGPS_Valor_Dezembro_Cálculo!V65/RGPS_Valor_Dezembro_Cálculo!V24*'RGPS_Valor Acumulado'!V24</f>
        <v>1.525852618096081</v>
      </c>
      <c r="W65" s="112">
        <f>RGPS_Valor_Dezembro_Cálculo!W65/RGPS_Valor_Dezembro_Cálculo!W24*'RGPS_Valor Acumulado'!W24</f>
        <v>1.3614713487693244</v>
      </c>
      <c r="X65" s="112">
        <f>RGPS_Valor_Dezembro_Cálculo!X65/RGPS_Valor_Dezembro_Cálculo!X24*'RGPS_Valor Acumulado'!X24</f>
        <v>1.6595748335268778</v>
      </c>
      <c r="Y65" s="112">
        <f>RGPS_Valor_Dezembro_Cálculo!Y65/RGPS_Valor_Dezembro_Cálculo!Y24*'RGPS_Valor Acumulado'!Y24</f>
        <v>2.0152956966077404</v>
      </c>
      <c r="Z65" s="112">
        <f>RGPS_Valor_Dezembro_Cálculo!Z65/RGPS_Valor_Dezembro_Cálculo!Z24*'RGPS_Valor Acumulado'!Z24</f>
        <v>2.231280498481091</v>
      </c>
      <c r="AA65" s="112">
        <f>RGPS_Valor_Dezembro_Cálculo!AA65/RGPS_Valor_Dezembro_Cálculo!AA24*'RGPS_Valor Acumulado'!AA24</f>
        <v>1.7553880257093599</v>
      </c>
      <c r="AB65" s="112">
        <f>RGPS_Valor_Dezembro_Cálculo!AB65/RGPS_Valor_Dezembro_Cálculo!AB24*'RGPS_Valor Acumulado'!AB24</f>
        <v>1.6193248950248904</v>
      </c>
      <c r="AC65" s="112">
        <f>RGPS_Valor_Dezembro_Cálculo!AC65/RGPS_Valor_Dezembro_Cálculo!AC24*'RGPS_Valor Acumulado'!AC24</f>
        <v>0.8118137902437389</v>
      </c>
      <c r="AD65" s="109">
        <f t="shared" si="43"/>
        <v>219.54725573310597</v>
      </c>
      <c r="AE65" s="109">
        <f t="shared" si="31"/>
        <v>189.71490255811648</v>
      </c>
      <c r="AF65" s="109">
        <f t="shared" si="32"/>
        <v>69.071390464154575</v>
      </c>
      <c r="AG65" s="109">
        <f t="shared" si="33"/>
        <v>77.681739964538608</v>
      </c>
      <c r="AH65" s="109">
        <f t="shared" si="34"/>
        <v>85.065377346429102</v>
      </c>
      <c r="AI65" s="109">
        <f t="shared" si="35"/>
        <v>100.47873743709779</v>
      </c>
      <c r="AJ65" s="109">
        <f t="shared" si="36"/>
        <v>127.41959017915035</v>
      </c>
      <c r="AK65" s="109">
        <f t="shared" si="37"/>
        <v>160.84068446069494</v>
      </c>
      <c r="AL65" s="109">
        <f t="shared" si="38"/>
        <v>202.57566992457043</v>
      </c>
      <c r="AM65" s="109">
        <f t="shared" si="39"/>
        <v>280.80361448093373</v>
      </c>
      <c r="AN65" s="109">
        <f t="shared" si="40"/>
        <v>284.62053613893295</v>
      </c>
      <c r="AO65" s="109">
        <f t="shared" si="41"/>
        <v>274.01427751898399</v>
      </c>
      <c r="AP65" s="109">
        <f t="shared" si="42"/>
        <v>276.5623505382477</v>
      </c>
    </row>
    <row r="66" spans="2:42">
      <c r="B66" s="106" t="s">
        <v>37</v>
      </c>
      <c r="C66" s="37" t="s">
        <v>22</v>
      </c>
      <c r="D66" s="110">
        <f>D26</f>
        <v>12111.889460643681</v>
      </c>
      <c r="E66" s="110">
        <f t="shared" ref="E66:AC66" si="50">E26</f>
        <v>14410.785450538291</v>
      </c>
      <c r="F66" s="110">
        <f t="shared" si="50"/>
        <v>16642.612351216641</v>
      </c>
      <c r="G66" s="110">
        <f t="shared" si="50"/>
        <v>20128.986003340051</v>
      </c>
      <c r="H66" s="110">
        <f t="shared" si="50"/>
        <v>24827.043821713756</v>
      </c>
      <c r="I66" s="110">
        <f t="shared" si="50"/>
        <v>28120.657671012577</v>
      </c>
      <c r="J66" s="110">
        <f t="shared" si="50"/>
        <v>31777.241280612419</v>
      </c>
      <c r="K66" s="110">
        <f t="shared" si="50"/>
        <v>38075.981632190218</v>
      </c>
      <c r="L66" s="110">
        <f t="shared" si="50"/>
        <v>42725.095358428436</v>
      </c>
      <c r="M66" s="110">
        <f t="shared" si="50"/>
        <v>46404.240368432773</v>
      </c>
      <c r="N66" s="110">
        <f t="shared" si="50"/>
        <v>57273.338079478926</v>
      </c>
      <c r="O66" s="110">
        <f t="shared" si="50"/>
        <v>64700.093260489084</v>
      </c>
      <c r="P66" s="110">
        <f t="shared" si="50"/>
        <v>72531.767786648445</v>
      </c>
      <c r="Q66" s="111">
        <f t="shared" si="50"/>
        <v>16098.696147578312</v>
      </c>
      <c r="R66" s="112">
        <f t="shared" si="50"/>
        <v>19621.388652063237</v>
      </c>
      <c r="S66" s="112">
        <f t="shared" si="50"/>
        <v>22170.920102974022</v>
      </c>
      <c r="T66" s="112">
        <f t="shared" si="50"/>
        <v>25375.431881476339</v>
      </c>
      <c r="U66" s="112">
        <f t="shared" si="50"/>
        <v>29606.680656943936</v>
      </c>
      <c r="V66" s="112">
        <f t="shared" si="50"/>
        <v>32878.216666872366</v>
      </c>
      <c r="W66" s="112">
        <f t="shared" si="50"/>
        <v>36917.163611162177</v>
      </c>
      <c r="X66" s="112">
        <f t="shared" si="50"/>
        <v>43266.70959399634</v>
      </c>
      <c r="Y66" s="112">
        <f t="shared" si="50"/>
        <v>48697.974590483958</v>
      </c>
      <c r="Z66" s="112">
        <f t="shared" si="50"/>
        <v>52896.941538506049</v>
      </c>
      <c r="AA66" s="112">
        <f t="shared" si="50"/>
        <v>61782.483113711409</v>
      </c>
      <c r="AB66" s="112">
        <f t="shared" si="50"/>
        <v>69162.945634899806</v>
      </c>
      <c r="AC66" s="112">
        <f t="shared" si="50"/>
        <v>75928.797323288542</v>
      </c>
      <c r="AD66" s="109">
        <f t="shared" si="43"/>
        <v>28210.585608221991</v>
      </c>
      <c r="AE66" s="109">
        <f t="shared" si="31"/>
        <v>34032.17410260153</v>
      </c>
      <c r="AF66" s="109">
        <f t="shared" si="32"/>
        <v>38813.532454190659</v>
      </c>
      <c r="AG66" s="109">
        <f t="shared" si="33"/>
        <v>45504.417884816387</v>
      </c>
      <c r="AH66" s="109">
        <f t="shared" si="34"/>
        <v>54433.724478657692</v>
      </c>
      <c r="AI66" s="109">
        <f t="shared" si="35"/>
        <v>60998.874337884947</v>
      </c>
      <c r="AJ66" s="109">
        <f t="shared" si="36"/>
        <v>68694.404891774597</v>
      </c>
      <c r="AK66" s="109">
        <f t="shared" si="37"/>
        <v>81342.691226186551</v>
      </c>
      <c r="AL66" s="109">
        <f t="shared" si="38"/>
        <v>91423.069948912394</v>
      </c>
      <c r="AM66" s="109">
        <f t="shared" si="39"/>
        <v>99301.181906938815</v>
      </c>
      <c r="AN66" s="109">
        <f t="shared" si="40"/>
        <v>119055.82119319034</v>
      </c>
      <c r="AO66" s="109">
        <f t="shared" si="41"/>
        <v>133863.03889538889</v>
      </c>
      <c r="AP66" s="109">
        <f t="shared" si="42"/>
        <v>148460.56510993699</v>
      </c>
    </row>
    <row r="67" spans="2:42">
      <c r="B67" s="107"/>
      <c r="C67" s="39" t="s">
        <v>40</v>
      </c>
      <c r="D67" s="113">
        <f>D65+D63+D61+D59+D57+D55+D53</f>
        <v>17155.751769443708</v>
      </c>
      <c r="E67" s="113">
        <f t="shared" ref="E67:AC67" si="51">E65+E63+E61+E59+E57+E55+E53</f>
        <v>21347.525538119735</v>
      </c>
      <c r="F67" s="113">
        <f t="shared" si="51"/>
        <v>25309.288582659901</v>
      </c>
      <c r="G67" s="113">
        <f t="shared" si="51"/>
        <v>29059.028896030482</v>
      </c>
      <c r="H67" s="113">
        <f t="shared" si="51"/>
        <v>32826.295728969104</v>
      </c>
      <c r="I67" s="113">
        <f t="shared" si="51"/>
        <v>36010.932960356091</v>
      </c>
      <c r="J67" s="113">
        <f t="shared" si="51"/>
        <v>39951.678697473595</v>
      </c>
      <c r="K67" s="113">
        <f t="shared" si="51"/>
        <v>45832.607459531595</v>
      </c>
      <c r="L67" s="113">
        <f t="shared" si="51"/>
        <v>52227.242372712608</v>
      </c>
      <c r="M67" s="113">
        <f t="shared" si="51"/>
        <v>58550.622855483969</v>
      </c>
      <c r="N67" s="113">
        <f t="shared" si="51"/>
        <v>66269.66201645718</v>
      </c>
      <c r="O67" s="113">
        <f t="shared" si="51"/>
        <v>74915.716203181961</v>
      </c>
      <c r="P67" s="113">
        <f t="shared" si="51"/>
        <v>87898.687885715684</v>
      </c>
      <c r="Q67" s="114">
        <f t="shared" si="51"/>
        <v>222.80721873387512</v>
      </c>
      <c r="R67" s="115">
        <f t="shared" si="51"/>
        <v>282.34567886149893</v>
      </c>
      <c r="S67" s="115">
        <f t="shared" si="51"/>
        <v>303.26545366695876</v>
      </c>
      <c r="T67" s="115">
        <f t="shared" si="51"/>
        <v>297.68342615707098</v>
      </c>
      <c r="U67" s="115">
        <f t="shared" si="51"/>
        <v>287.61989528846783</v>
      </c>
      <c r="V67" s="115">
        <f t="shared" si="51"/>
        <v>290.13249001659409</v>
      </c>
      <c r="W67" s="115">
        <f t="shared" si="51"/>
        <v>303.38887168208936</v>
      </c>
      <c r="X67" s="115">
        <f t="shared" si="51"/>
        <v>325.01514956850167</v>
      </c>
      <c r="Y67" s="115">
        <f t="shared" si="51"/>
        <v>363.06292539755458</v>
      </c>
      <c r="Z67" s="115">
        <f t="shared" si="51"/>
        <v>394.24930279732445</v>
      </c>
      <c r="AA67" s="115">
        <f t="shared" si="51"/>
        <v>403.31978124654393</v>
      </c>
      <c r="AB67" s="115">
        <f t="shared" si="51"/>
        <v>442.65557079492498</v>
      </c>
      <c r="AC67" s="115">
        <f t="shared" si="51"/>
        <v>484.66887685092843</v>
      </c>
      <c r="AD67" s="116">
        <f t="shared" si="43"/>
        <v>17378.558988177585</v>
      </c>
      <c r="AE67" s="116">
        <f t="shared" si="31"/>
        <v>21629.871216981235</v>
      </c>
      <c r="AF67" s="116">
        <f t="shared" si="32"/>
        <v>25612.554036326859</v>
      </c>
      <c r="AG67" s="116">
        <f t="shared" si="33"/>
        <v>29356.712322187552</v>
      </c>
      <c r="AH67" s="116">
        <f t="shared" si="34"/>
        <v>33113.91562425757</v>
      </c>
      <c r="AI67" s="116">
        <f t="shared" si="35"/>
        <v>36301.065450372684</v>
      </c>
      <c r="AJ67" s="116">
        <f t="shared" si="36"/>
        <v>40255.067569155683</v>
      </c>
      <c r="AK67" s="116">
        <f t="shared" si="37"/>
        <v>46157.622609100094</v>
      </c>
      <c r="AL67" s="116">
        <f t="shared" si="38"/>
        <v>52590.305298110165</v>
      </c>
      <c r="AM67" s="116">
        <f t="shared" si="39"/>
        <v>58944.872158281294</v>
      </c>
      <c r="AN67" s="116">
        <f t="shared" si="40"/>
        <v>66672.981797703716</v>
      </c>
      <c r="AO67" s="116">
        <f t="shared" si="41"/>
        <v>75358.371773976891</v>
      </c>
      <c r="AP67" s="116">
        <f t="shared" si="42"/>
        <v>88383.356762566618</v>
      </c>
    </row>
    <row r="69" spans="2:42">
      <c r="D69" s="134"/>
    </row>
  </sheetData>
  <mergeCells count="8">
    <mergeCell ref="B49:AP49"/>
    <mergeCell ref="B50:C50"/>
    <mergeCell ref="D2:O2"/>
    <mergeCell ref="Q2:AB2"/>
    <mergeCell ref="AD2:AO2"/>
    <mergeCell ref="D29:O29"/>
    <mergeCell ref="Q29:AB29"/>
    <mergeCell ref="AD29:AO29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L263"/>
  <sheetViews>
    <sheetView showGridLines="0" workbookViewId="0">
      <selection activeCell="E11" sqref="E11"/>
    </sheetView>
  </sheetViews>
  <sheetFormatPr defaultRowHeight="15"/>
  <cols>
    <col min="1" max="1" width="26.42578125" bestFit="1" customWidth="1"/>
    <col min="2" max="2" width="17.85546875" bestFit="1" customWidth="1"/>
  </cols>
  <sheetData>
    <row r="1" spans="1:38">
      <c r="A1" t="s">
        <v>0</v>
      </c>
      <c r="B1" t="s">
        <v>2</v>
      </c>
      <c r="C1" t="s">
        <v>1</v>
      </c>
    </row>
    <row r="2" spans="1:38">
      <c r="A2" t="s">
        <v>77</v>
      </c>
      <c r="B2" t="s">
        <v>21</v>
      </c>
      <c r="C2" t="s">
        <v>4</v>
      </c>
      <c r="D2" t="s">
        <v>4</v>
      </c>
      <c r="E2" t="s">
        <v>4</v>
      </c>
      <c r="F2" t="s">
        <v>4</v>
      </c>
      <c r="G2" t="s">
        <v>4</v>
      </c>
      <c r="H2" t="s">
        <v>4</v>
      </c>
      <c r="I2" t="s">
        <v>4</v>
      </c>
      <c r="J2" t="s">
        <v>4</v>
      </c>
      <c r="K2" t="s">
        <v>4</v>
      </c>
      <c r="L2" t="s">
        <v>4</v>
      </c>
      <c r="M2" t="s">
        <v>4</v>
      </c>
      <c r="N2" t="s">
        <v>4</v>
      </c>
      <c r="O2" t="s">
        <v>19</v>
      </c>
      <c r="P2" t="s">
        <v>19</v>
      </c>
      <c r="Q2" t="s">
        <v>19</v>
      </c>
      <c r="R2" t="s">
        <v>19</v>
      </c>
      <c r="S2" t="s">
        <v>19</v>
      </c>
      <c r="T2" t="s">
        <v>19</v>
      </c>
      <c r="U2" t="s">
        <v>19</v>
      </c>
      <c r="V2" t="s">
        <v>19</v>
      </c>
      <c r="W2" t="s">
        <v>19</v>
      </c>
      <c r="X2" t="s">
        <v>19</v>
      </c>
      <c r="Y2" t="s">
        <v>19</v>
      </c>
      <c r="Z2" t="s">
        <v>19</v>
      </c>
      <c r="AA2" t="s">
        <v>3</v>
      </c>
      <c r="AB2" t="s">
        <v>3</v>
      </c>
      <c r="AC2" t="s">
        <v>3</v>
      </c>
      <c r="AD2" t="s">
        <v>3</v>
      </c>
      <c r="AE2" t="s">
        <v>3</v>
      </c>
      <c r="AF2" t="s">
        <v>3</v>
      </c>
      <c r="AG2" t="s">
        <v>3</v>
      </c>
      <c r="AH2" t="s">
        <v>3</v>
      </c>
      <c r="AI2" t="s">
        <v>3</v>
      </c>
      <c r="AJ2" t="s">
        <v>3</v>
      </c>
      <c r="AK2" t="s">
        <v>3</v>
      </c>
      <c r="AL2" t="s">
        <v>3</v>
      </c>
    </row>
    <row r="3" spans="1:38">
      <c r="C3">
        <v>2002</v>
      </c>
      <c r="D3">
        <v>2003</v>
      </c>
      <c r="E3">
        <v>2004</v>
      </c>
      <c r="F3">
        <v>2005</v>
      </c>
      <c r="G3">
        <v>2006</v>
      </c>
      <c r="H3">
        <v>2007</v>
      </c>
      <c r="I3">
        <v>2008</v>
      </c>
      <c r="J3">
        <v>2009</v>
      </c>
      <c r="K3">
        <v>2010</v>
      </c>
      <c r="L3">
        <v>2011</v>
      </c>
      <c r="M3">
        <v>2012</v>
      </c>
      <c r="N3">
        <v>2013</v>
      </c>
      <c r="O3">
        <v>2002</v>
      </c>
      <c r="P3">
        <v>2003</v>
      </c>
      <c r="Q3">
        <v>2004</v>
      </c>
      <c r="R3">
        <v>2005</v>
      </c>
      <c r="S3">
        <v>2006</v>
      </c>
      <c r="T3">
        <v>2007</v>
      </c>
      <c r="U3">
        <v>2008</v>
      </c>
      <c r="V3">
        <v>2009</v>
      </c>
      <c r="W3">
        <v>2010</v>
      </c>
      <c r="X3">
        <v>2011</v>
      </c>
      <c r="Y3">
        <v>2012</v>
      </c>
      <c r="Z3">
        <v>2013</v>
      </c>
      <c r="AA3">
        <v>2002</v>
      </c>
      <c r="AB3">
        <v>2003</v>
      </c>
      <c r="AC3">
        <v>2004</v>
      </c>
      <c r="AD3">
        <v>2005</v>
      </c>
      <c r="AE3">
        <v>2006</v>
      </c>
      <c r="AF3">
        <v>2007</v>
      </c>
      <c r="AG3">
        <v>2008</v>
      </c>
      <c r="AH3">
        <v>2009</v>
      </c>
      <c r="AI3">
        <v>2010</v>
      </c>
      <c r="AJ3">
        <v>2011</v>
      </c>
      <c r="AK3">
        <v>2012</v>
      </c>
      <c r="AL3">
        <v>2013</v>
      </c>
    </row>
    <row r="4" spans="1:38">
      <c r="A4" t="s">
        <v>70</v>
      </c>
      <c r="B4" t="s">
        <v>3</v>
      </c>
      <c r="C4">
        <v>12297133</v>
      </c>
      <c r="D4">
        <v>12760637</v>
      </c>
      <c r="E4">
        <v>13569516</v>
      </c>
      <c r="F4">
        <v>14027392</v>
      </c>
      <c r="G4">
        <v>14339565</v>
      </c>
      <c r="H4">
        <v>14569051</v>
      </c>
      <c r="I4">
        <v>15037669</v>
      </c>
      <c r="J4">
        <v>15538579</v>
      </c>
      <c r="K4">
        <v>16180688</v>
      </c>
      <c r="L4">
        <v>16715613</v>
      </c>
      <c r="M4">
        <v>17332432</v>
      </c>
      <c r="N4">
        <v>18055068</v>
      </c>
      <c r="O4">
        <v>6575533</v>
      </c>
      <c r="P4">
        <v>6760629</v>
      </c>
      <c r="Q4">
        <v>6947742</v>
      </c>
      <c r="R4">
        <v>7130745</v>
      </c>
      <c r="S4">
        <v>7305320</v>
      </c>
      <c r="T4">
        <v>7497212</v>
      </c>
      <c r="U4">
        <v>7738536</v>
      </c>
      <c r="V4">
        <v>7995918</v>
      </c>
      <c r="W4">
        <v>8246194</v>
      </c>
      <c r="X4">
        <v>8460710</v>
      </c>
      <c r="Y4">
        <v>8700423</v>
      </c>
      <c r="Z4">
        <v>8953943</v>
      </c>
      <c r="AA4">
        <v>18872666</v>
      </c>
      <c r="AB4">
        <v>19521266</v>
      </c>
      <c r="AC4">
        <v>20517258</v>
      </c>
      <c r="AD4">
        <v>21158137</v>
      </c>
      <c r="AE4">
        <v>21644885</v>
      </c>
      <c r="AF4">
        <v>22066263</v>
      </c>
      <c r="AG4">
        <v>22776205</v>
      </c>
      <c r="AH4">
        <v>23534497</v>
      </c>
      <c r="AI4">
        <v>24426882</v>
      </c>
      <c r="AJ4">
        <v>25176323</v>
      </c>
      <c r="AK4">
        <v>26032855</v>
      </c>
      <c r="AL4">
        <v>27009011</v>
      </c>
    </row>
    <row r="5" spans="1:38">
      <c r="B5" t="s">
        <v>5</v>
      </c>
      <c r="C5">
        <v>452028</v>
      </c>
      <c r="D5">
        <v>450654</v>
      </c>
      <c r="E5">
        <v>459838</v>
      </c>
      <c r="F5">
        <v>481184</v>
      </c>
      <c r="G5">
        <v>512566</v>
      </c>
      <c r="H5">
        <v>524638</v>
      </c>
      <c r="I5">
        <v>544398</v>
      </c>
      <c r="J5">
        <v>570536</v>
      </c>
      <c r="K5">
        <v>586728</v>
      </c>
      <c r="L5">
        <v>600175</v>
      </c>
      <c r="M5">
        <v>636573</v>
      </c>
      <c r="N5">
        <v>660270</v>
      </c>
      <c r="O5">
        <v>23269</v>
      </c>
      <c r="P5">
        <v>26017</v>
      </c>
      <c r="Q5">
        <v>29230</v>
      </c>
      <c r="R5">
        <v>32716</v>
      </c>
      <c r="S5">
        <v>37378</v>
      </c>
      <c r="T5">
        <v>41410</v>
      </c>
      <c r="U5">
        <v>44532</v>
      </c>
      <c r="V5">
        <v>50191</v>
      </c>
      <c r="W5">
        <v>54402</v>
      </c>
      <c r="X5">
        <v>58577</v>
      </c>
      <c r="Y5">
        <v>62927</v>
      </c>
      <c r="Z5">
        <v>67530</v>
      </c>
      <c r="AA5">
        <v>475297</v>
      </c>
      <c r="AB5">
        <v>476671</v>
      </c>
      <c r="AC5">
        <v>489068</v>
      </c>
      <c r="AD5">
        <v>513900</v>
      </c>
      <c r="AE5">
        <v>549944</v>
      </c>
      <c r="AF5">
        <v>566048</v>
      </c>
      <c r="AG5">
        <v>588930</v>
      </c>
      <c r="AH5">
        <v>620727</v>
      </c>
      <c r="AI5">
        <v>641130</v>
      </c>
      <c r="AJ5">
        <v>658752</v>
      </c>
      <c r="AK5">
        <v>699500</v>
      </c>
      <c r="AL5">
        <v>727800</v>
      </c>
    </row>
    <row r="6" spans="1:38">
      <c r="B6" t="s">
        <v>6</v>
      </c>
      <c r="C6">
        <v>4751362</v>
      </c>
      <c r="D6">
        <v>4780690</v>
      </c>
      <c r="E6">
        <v>5052813</v>
      </c>
      <c r="F6">
        <v>5428607</v>
      </c>
      <c r="G6">
        <v>5814265</v>
      </c>
      <c r="H6">
        <v>6053149</v>
      </c>
      <c r="I6">
        <v>6300568</v>
      </c>
      <c r="J6">
        <v>6666705</v>
      </c>
      <c r="K6">
        <v>6856957</v>
      </c>
      <c r="L6">
        <v>6975520</v>
      </c>
      <c r="M6">
        <v>7587648</v>
      </c>
      <c r="N6">
        <v>7894704</v>
      </c>
      <c r="O6">
        <v>6461136</v>
      </c>
      <c r="P6">
        <v>6637576</v>
      </c>
      <c r="Q6">
        <v>6824359</v>
      </c>
      <c r="R6">
        <v>7015612</v>
      </c>
      <c r="S6">
        <v>7197978</v>
      </c>
      <c r="T6">
        <v>7390829</v>
      </c>
      <c r="U6">
        <v>7631324</v>
      </c>
      <c r="V6">
        <v>7886523</v>
      </c>
      <c r="W6">
        <v>8131235</v>
      </c>
      <c r="X6">
        <v>8340030</v>
      </c>
      <c r="Y6">
        <v>8581540</v>
      </c>
      <c r="Z6">
        <v>8829915</v>
      </c>
      <c r="AA6">
        <v>11212498</v>
      </c>
      <c r="AB6">
        <v>11418266</v>
      </c>
      <c r="AC6">
        <v>11877172</v>
      </c>
      <c r="AD6">
        <v>12444219</v>
      </c>
      <c r="AE6">
        <v>13012243</v>
      </c>
      <c r="AF6">
        <v>13443978</v>
      </c>
      <c r="AG6">
        <v>13931892</v>
      </c>
      <c r="AH6">
        <v>14553228</v>
      </c>
      <c r="AI6">
        <v>14988192</v>
      </c>
      <c r="AJ6">
        <v>15315550</v>
      </c>
      <c r="AK6">
        <v>16169188</v>
      </c>
      <c r="AL6">
        <v>16724619</v>
      </c>
    </row>
    <row r="7" spans="1:38">
      <c r="B7" t="s">
        <v>7</v>
      </c>
      <c r="C7">
        <v>2452982</v>
      </c>
      <c r="D7">
        <v>2647213</v>
      </c>
      <c r="E7">
        <v>2847515</v>
      </c>
      <c r="F7">
        <v>3016527</v>
      </c>
      <c r="G7">
        <v>3192131</v>
      </c>
      <c r="H7">
        <v>3241509</v>
      </c>
      <c r="I7">
        <v>3411943</v>
      </c>
      <c r="J7">
        <v>3581348</v>
      </c>
      <c r="K7">
        <v>3873223</v>
      </c>
      <c r="L7">
        <v>4081165</v>
      </c>
      <c r="M7">
        <v>4245231</v>
      </c>
      <c r="N7">
        <v>4526618</v>
      </c>
      <c r="O7">
        <v>65036</v>
      </c>
      <c r="P7">
        <v>70093</v>
      </c>
      <c r="Q7">
        <v>67370</v>
      </c>
      <c r="R7">
        <v>59818</v>
      </c>
      <c r="S7">
        <v>52234</v>
      </c>
      <c r="T7">
        <v>49083</v>
      </c>
      <c r="U7">
        <v>48138</v>
      </c>
      <c r="V7">
        <v>46306</v>
      </c>
      <c r="W7">
        <v>47844</v>
      </c>
      <c r="X7">
        <v>49442</v>
      </c>
      <c r="Y7">
        <v>45477</v>
      </c>
      <c r="Z7">
        <v>46792</v>
      </c>
      <c r="AA7">
        <v>2518018</v>
      </c>
      <c r="AB7">
        <v>2717306</v>
      </c>
      <c r="AC7">
        <v>2914885</v>
      </c>
      <c r="AD7">
        <v>3076345</v>
      </c>
      <c r="AE7">
        <v>3244365</v>
      </c>
      <c r="AF7">
        <v>3290592</v>
      </c>
      <c r="AG7">
        <v>3460081</v>
      </c>
      <c r="AH7">
        <v>3627654</v>
      </c>
      <c r="AI7">
        <v>3921067</v>
      </c>
      <c r="AJ7">
        <v>4130607</v>
      </c>
      <c r="AK7">
        <v>4290708</v>
      </c>
      <c r="AL7">
        <v>4573410</v>
      </c>
    </row>
    <row r="8" spans="1:38">
      <c r="B8" t="s">
        <v>8</v>
      </c>
      <c r="C8">
        <v>1435394</v>
      </c>
      <c r="D8">
        <v>1524436</v>
      </c>
      <c r="E8">
        <v>1675736</v>
      </c>
      <c r="F8">
        <v>1735852</v>
      </c>
      <c r="G8">
        <v>1776808</v>
      </c>
      <c r="H8">
        <v>1813212</v>
      </c>
      <c r="I8">
        <v>1884150</v>
      </c>
      <c r="J8">
        <v>1955984</v>
      </c>
      <c r="K8">
        <v>2054628</v>
      </c>
      <c r="L8">
        <v>2144617</v>
      </c>
      <c r="M8">
        <v>2304905</v>
      </c>
      <c r="N8">
        <v>2424226</v>
      </c>
      <c r="O8">
        <v>15923</v>
      </c>
      <c r="P8">
        <v>16476</v>
      </c>
      <c r="Q8">
        <v>16571</v>
      </c>
      <c r="R8">
        <v>14313</v>
      </c>
      <c r="S8">
        <v>11522</v>
      </c>
      <c r="T8">
        <v>10510</v>
      </c>
      <c r="U8">
        <v>9778</v>
      </c>
      <c r="V8">
        <v>8859</v>
      </c>
      <c r="W8">
        <v>8666</v>
      </c>
      <c r="X8">
        <v>8701</v>
      </c>
      <c r="Y8">
        <v>7442</v>
      </c>
      <c r="Z8">
        <v>6973</v>
      </c>
      <c r="AA8">
        <v>1451317</v>
      </c>
      <c r="AB8">
        <v>1540912</v>
      </c>
      <c r="AC8">
        <v>1692307</v>
      </c>
      <c r="AD8">
        <v>1750165</v>
      </c>
      <c r="AE8">
        <v>1788330</v>
      </c>
      <c r="AF8">
        <v>1823722</v>
      </c>
      <c r="AG8">
        <v>1893928</v>
      </c>
      <c r="AH8">
        <v>1964843</v>
      </c>
      <c r="AI8">
        <v>2063294</v>
      </c>
      <c r="AJ8">
        <v>2153318</v>
      </c>
      <c r="AK8">
        <v>2312347</v>
      </c>
      <c r="AL8">
        <v>2431199</v>
      </c>
    </row>
    <row r="9" spans="1:38">
      <c r="B9" t="s">
        <v>9</v>
      </c>
      <c r="C9">
        <v>995047</v>
      </c>
      <c r="D9">
        <v>1048170</v>
      </c>
      <c r="E9">
        <v>1136375</v>
      </c>
      <c r="F9">
        <v>1185520</v>
      </c>
      <c r="G9">
        <v>1326715</v>
      </c>
      <c r="H9">
        <v>1386805</v>
      </c>
      <c r="I9">
        <v>1443546</v>
      </c>
      <c r="J9">
        <v>1508698</v>
      </c>
      <c r="K9">
        <v>1564566</v>
      </c>
      <c r="L9">
        <v>1627448</v>
      </c>
      <c r="M9">
        <v>1546413</v>
      </c>
      <c r="N9">
        <v>1599875</v>
      </c>
      <c r="O9">
        <v>5609</v>
      </c>
      <c r="P9">
        <v>5812</v>
      </c>
      <c r="Q9">
        <v>5760</v>
      </c>
      <c r="R9">
        <v>4804</v>
      </c>
      <c r="S9">
        <v>3760</v>
      </c>
      <c r="T9">
        <v>3296</v>
      </c>
      <c r="U9">
        <v>2953</v>
      </c>
      <c r="V9">
        <v>2516</v>
      </c>
      <c r="W9">
        <v>2500</v>
      </c>
      <c r="X9">
        <v>2430</v>
      </c>
      <c r="Y9">
        <v>2131</v>
      </c>
      <c r="Z9">
        <v>1963</v>
      </c>
      <c r="AA9">
        <v>1000656</v>
      </c>
      <c r="AB9">
        <v>1053982</v>
      </c>
      <c r="AC9">
        <v>1142135</v>
      </c>
      <c r="AD9">
        <v>1190324</v>
      </c>
      <c r="AE9">
        <v>1330475</v>
      </c>
      <c r="AF9">
        <v>1390101</v>
      </c>
      <c r="AG9">
        <v>1446499</v>
      </c>
      <c r="AH9">
        <v>1511214</v>
      </c>
      <c r="AI9">
        <v>1567066</v>
      </c>
      <c r="AJ9">
        <v>1629878</v>
      </c>
      <c r="AK9">
        <v>1548544</v>
      </c>
      <c r="AL9">
        <v>1601838</v>
      </c>
    </row>
    <row r="10" spans="1:38">
      <c r="B10" t="s">
        <v>10</v>
      </c>
      <c r="C10">
        <v>931012</v>
      </c>
      <c r="D10">
        <v>961726</v>
      </c>
      <c r="E10">
        <v>1019651</v>
      </c>
      <c r="F10">
        <v>1039888</v>
      </c>
      <c r="G10">
        <v>911986</v>
      </c>
      <c r="H10">
        <v>899647</v>
      </c>
      <c r="I10">
        <v>903921</v>
      </c>
      <c r="J10">
        <v>950582</v>
      </c>
      <c r="K10">
        <v>946820</v>
      </c>
      <c r="L10">
        <v>930002</v>
      </c>
      <c r="M10">
        <v>789526</v>
      </c>
      <c r="N10">
        <v>749177</v>
      </c>
      <c r="O10">
        <v>2421</v>
      </c>
      <c r="P10">
        <v>2436</v>
      </c>
      <c r="Q10">
        <v>2379</v>
      </c>
      <c r="R10">
        <v>1918</v>
      </c>
      <c r="S10">
        <v>1502</v>
      </c>
      <c r="T10">
        <v>1437</v>
      </c>
      <c r="U10">
        <v>1318</v>
      </c>
      <c r="V10">
        <v>1349</v>
      </c>
      <c r="W10">
        <v>1372</v>
      </c>
      <c r="X10">
        <v>1306</v>
      </c>
      <c r="Y10">
        <v>809</v>
      </c>
      <c r="Z10">
        <v>697</v>
      </c>
      <c r="AA10">
        <v>933433</v>
      </c>
      <c r="AB10">
        <v>964162</v>
      </c>
      <c r="AC10">
        <v>1022030</v>
      </c>
      <c r="AD10">
        <v>1041806</v>
      </c>
      <c r="AE10">
        <v>913488</v>
      </c>
      <c r="AF10">
        <v>901084</v>
      </c>
      <c r="AG10">
        <v>905239</v>
      </c>
      <c r="AH10">
        <v>951931</v>
      </c>
      <c r="AI10">
        <v>948192</v>
      </c>
      <c r="AJ10">
        <v>931308</v>
      </c>
      <c r="AK10">
        <v>790335</v>
      </c>
      <c r="AL10">
        <v>749874</v>
      </c>
    </row>
    <row r="11" spans="1:38">
      <c r="B11" t="s">
        <v>11</v>
      </c>
      <c r="C11">
        <v>643509</v>
      </c>
      <c r="D11">
        <v>670147</v>
      </c>
      <c r="E11">
        <v>671202</v>
      </c>
      <c r="F11">
        <v>649597</v>
      </c>
      <c r="G11">
        <v>620246</v>
      </c>
      <c r="H11">
        <v>554082</v>
      </c>
      <c r="I11">
        <v>463897</v>
      </c>
      <c r="J11">
        <v>249537</v>
      </c>
      <c r="K11">
        <v>248712</v>
      </c>
      <c r="L11">
        <v>301225</v>
      </c>
      <c r="M11">
        <v>190765</v>
      </c>
      <c r="N11">
        <v>176259</v>
      </c>
      <c r="O11">
        <v>1297</v>
      </c>
      <c r="P11">
        <v>1341</v>
      </c>
      <c r="Q11">
        <v>1224</v>
      </c>
      <c r="R11">
        <v>1090</v>
      </c>
      <c r="S11">
        <v>831</v>
      </c>
      <c r="T11">
        <v>608</v>
      </c>
      <c r="U11">
        <v>457</v>
      </c>
      <c r="V11">
        <v>152</v>
      </c>
      <c r="W11">
        <v>149</v>
      </c>
      <c r="X11">
        <v>189</v>
      </c>
      <c r="Y11">
        <v>82</v>
      </c>
      <c r="Z11">
        <v>67</v>
      </c>
      <c r="AA11">
        <v>644806</v>
      </c>
      <c r="AB11">
        <v>671488</v>
      </c>
      <c r="AC11">
        <v>672426</v>
      </c>
      <c r="AD11">
        <v>650687</v>
      </c>
      <c r="AE11">
        <v>621077</v>
      </c>
      <c r="AF11">
        <v>554690</v>
      </c>
      <c r="AG11">
        <v>464354</v>
      </c>
      <c r="AH11">
        <v>249689</v>
      </c>
      <c r="AI11">
        <v>248861</v>
      </c>
      <c r="AJ11">
        <v>301414</v>
      </c>
      <c r="AK11">
        <v>190847</v>
      </c>
      <c r="AL11">
        <v>176326</v>
      </c>
    </row>
    <row r="12" spans="1:38">
      <c r="B12" t="s">
        <v>12</v>
      </c>
      <c r="C12">
        <v>416831</v>
      </c>
      <c r="D12">
        <v>433285</v>
      </c>
      <c r="E12">
        <v>516246</v>
      </c>
      <c r="F12">
        <v>422157</v>
      </c>
      <c r="G12">
        <v>155001</v>
      </c>
      <c r="H12">
        <v>73076</v>
      </c>
      <c r="I12">
        <v>63771</v>
      </c>
      <c r="J12">
        <v>43676</v>
      </c>
      <c r="K12">
        <v>38540</v>
      </c>
      <c r="L12">
        <v>45150</v>
      </c>
      <c r="M12">
        <v>22669</v>
      </c>
      <c r="N12">
        <v>15760</v>
      </c>
      <c r="O12">
        <v>649</v>
      </c>
      <c r="P12">
        <v>673</v>
      </c>
      <c r="Q12">
        <v>724</v>
      </c>
      <c r="R12">
        <v>439</v>
      </c>
      <c r="S12">
        <v>104</v>
      </c>
      <c r="T12">
        <v>30</v>
      </c>
      <c r="U12">
        <v>30</v>
      </c>
      <c r="V12">
        <v>19</v>
      </c>
      <c r="W12">
        <v>23</v>
      </c>
      <c r="X12">
        <v>33</v>
      </c>
      <c r="Y12">
        <v>13</v>
      </c>
      <c r="Z12">
        <v>5</v>
      </c>
      <c r="AA12">
        <v>417480</v>
      </c>
      <c r="AB12">
        <v>433958</v>
      </c>
      <c r="AC12">
        <v>516970</v>
      </c>
      <c r="AD12">
        <v>422596</v>
      </c>
      <c r="AE12">
        <v>155105</v>
      </c>
      <c r="AF12">
        <v>73106</v>
      </c>
      <c r="AG12">
        <v>63801</v>
      </c>
      <c r="AH12">
        <v>43695</v>
      </c>
      <c r="AI12">
        <v>38563</v>
      </c>
      <c r="AJ12">
        <v>45183</v>
      </c>
      <c r="AK12">
        <v>22682</v>
      </c>
      <c r="AL12">
        <v>15765</v>
      </c>
    </row>
    <row r="13" spans="1:38">
      <c r="B13" t="s">
        <v>13</v>
      </c>
      <c r="C13">
        <v>182206</v>
      </c>
      <c r="D13">
        <v>213665</v>
      </c>
      <c r="E13">
        <v>152972</v>
      </c>
      <c r="F13">
        <v>46742</v>
      </c>
      <c r="G13">
        <v>16972</v>
      </c>
      <c r="H13">
        <v>12153</v>
      </c>
      <c r="I13">
        <v>11915</v>
      </c>
      <c r="J13">
        <v>3257</v>
      </c>
      <c r="K13">
        <v>2825</v>
      </c>
      <c r="L13">
        <v>2632</v>
      </c>
      <c r="M13">
        <v>2719</v>
      </c>
      <c r="N13">
        <v>2886</v>
      </c>
      <c r="O13">
        <v>180</v>
      </c>
      <c r="P13">
        <v>194</v>
      </c>
      <c r="Q13">
        <v>113</v>
      </c>
      <c r="R13">
        <v>26</v>
      </c>
      <c r="S13">
        <v>8</v>
      </c>
      <c r="T13">
        <v>7</v>
      </c>
      <c r="U13">
        <v>5</v>
      </c>
      <c r="V13">
        <v>3</v>
      </c>
      <c r="W13">
        <v>3</v>
      </c>
      <c r="X13">
        <v>2</v>
      </c>
      <c r="Y13">
        <v>2</v>
      </c>
      <c r="Z13">
        <v>1</v>
      </c>
      <c r="AA13">
        <v>182386</v>
      </c>
      <c r="AB13">
        <v>213859</v>
      </c>
      <c r="AC13">
        <v>153085</v>
      </c>
      <c r="AD13">
        <v>46768</v>
      </c>
      <c r="AE13">
        <v>16980</v>
      </c>
      <c r="AF13">
        <v>12160</v>
      </c>
      <c r="AG13">
        <v>11920</v>
      </c>
      <c r="AH13">
        <v>3260</v>
      </c>
      <c r="AI13">
        <v>2828</v>
      </c>
      <c r="AJ13">
        <v>2634</v>
      </c>
      <c r="AK13">
        <v>2721</v>
      </c>
      <c r="AL13">
        <v>2887</v>
      </c>
    </row>
    <row r="14" spans="1:38">
      <c r="B14" t="s">
        <v>14</v>
      </c>
      <c r="C14">
        <v>12379</v>
      </c>
      <c r="D14">
        <v>11390</v>
      </c>
      <c r="E14">
        <v>18386</v>
      </c>
      <c r="F14">
        <v>8813</v>
      </c>
      <c r="G14">
        <v>3779</v>
      </c>
      <c r="H14">
        <v>2876</v>
      </c>
      <c r="I14">
        <v>3084</v>
      </c>
      <c r="J14">
        <v>3183</v>
      </c>
      <c r="K14">
        <v>2942</v>
      </c>
      <c r="L14">
        <v>2545</v>
      </c>
      <c r="M14">
        <v>2303</v>
      </c>
      <c r="N14">
        <v>1831</v>
      </c>
      <c r="O14">
        <v>6</v>
      </c>
      <c r="P14">
        <v>6</v>
      </c>
      <c r="Q14">
        <v>9</v>
      </c>
      <c r="R14">
        <v>7</v>
      </c>
      <c r="S14">
        <v>1</v>
      </c>
      <c r="T14">
        <v>2</v>
      </c>
      <c r="U14">
        <v>1</v>
      </c>
      <c r="V14">
        <v>0</v>
      </c>
      <c r="W14">
        <v>0</v>
      </c>
      <c r="X14">
        <v>0</v>
      </c>
      <c r="Y14">
        <v>0</v>
      </c>
      <c r="Z14">
        <v>0</v>
      </c>
      <c r="AA14">
        <v>12385</v>
      </c>
      <c r="AB14">
        <v>11396</v>
      </c>
      <c r="AC14">
        <v>18395</v>
      </c>
      <c r="AD14">
        <v>8820</v>
      </c>
      <c r="AE14">
        <v>3780</v>
      </c>
      <c r="AF14">
        <v>2878</v>
      </c>
      <c r="AG14">
        <v>3085</v>
      </c>
      <c r="AH14">
        <v>3183</v>
      </c>
      <c r="AI14">
        <v>2942</v>
      </c>
      <c r="AJ14">
        <v>2545</v>
      </c>
      <c r="AK14">
        <v>2303</v>
      </c>
      <c r="AL14">
        <v>1831</v>
      </c>
    </row>
    <row r="15" spans="1:38">
      <c r="B15" t="s">
        <v>15</v>
      </c>
      <c r="C15">
        <v>6561</v>
      </c>
      <c r="D15">
        <v>5795</v>
      </c>
      <c r="E15">
        <v>6325</v>
      </c>
      <c r="F15">
        <v>3604</v>
      </c>
      <c r="G15">
        <v>2286</v>
      </c>
      <c r="H15">
        <v>2887</v>
      </c>
      <c r="I15">
        <v>2111</v>
      </c>
      <c r="J15">
        <v>1220</v>
      </c>
      <c r="K15">
        <v>1176</v>
      </c>
      <c r="L15">
        <v>1631</v>
      </c>
      <c r="M15">
        <v>620</v>
      </c>
      <c r="N15">
        <v>562</v>
      </c>
      <c r="O15">
        <v>1</v>
      </c>
      <c r="P15">
        <v>1</v>
      </c>
      <c r="Q15">
        <v>0</v>
      </c>
      <c r="R15">
        <v>0</v>
      </c>
      <c r="S15">
        <v>2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6562</v>
      </c>
      <c r="AB15">
        <v>5796</v>
      </c>
      <c r="AC15">
        <v>6325</v>
      </c>
      <c r="AD15">
        <v>3604</v>
      </c>
      <c r="AE15">
        <v>2288</v>
      </c>
      <c r="AF15">
        <v>2887</v>
      </c>
      <c r="AG15">
        <v>2111</v>
      </c>
      <c r="AH15">
        <v>1220</v>
      </c>
      <c r="AI15">
        <v>1176</v>
      </c>
      <c r="AJ15">
        <v>1631</v>
      </c>
      <c r="AK15">
        <v>620</v>
      </c>
      <c r="AL15">
        <v>562</v>
      </c>
    </row>
    <row r="16" spans="1:38">
      <c r="B16" t="s">
        <v>16</v>
      </c>
      <c r="C16">
        <v>14721</v>
      </c>
      <c r="D16">
        <v>11523</v>
      </c>
      <c r="E16">
        <v>10719</v>
      </c>
      <c r="F16">
        <v>7486</v>
      </c>
      <c r="G16">
        <v>5980</v>
      </c>
      <c r="H16">
        <v>4214</v>
      </c>
      <c r="I16">
        <v>3656</v>
      </c>
      <c r="J16">
        <v>3239</v>
      </c>
      <c r="K16">
        <v>3043</v>
      </c>
      <c r="L16">
        <v>2982</v>
      </c>
      <c r="M16">
        <v>2633</v>
      </c>
      <c r="N16">
        <v>2506</v>
      </c>
      <c r="O16">
        <v>6</v>
      </c>
      <c r="P16">
        <v>4</v>
      </c>
      <c r="Q16">
        <v>3</v>
      </c>
      <c r="R16">
        <v>2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14727</v>
      </c>
      <c r="AB16">
        <v>11527</v>
      </c>
      <c r="AC16">
        <v>10722</v>
      </c>
      <c r="AD16">
        <v>7488</v>
      </c>
      <c r="AE16">
        <v>5980</v>
      </c>
      <c r="AF16">
        <v>4214</v>
      </c>
      <c r="AG16">
        <v>3656</v>
      </c>
      <c r="AH16">
        <v>3239</v>
      </c>
      <c r="AI16">
        <v>3043</v>
      </c>
      <c r="AJ16">
        <v>2982</v>
      </c>
      <c r="AK16">
        <v>2633</v>
      </c>
      <c r="AL16">
        <v>2506</v>
      </c>
    </row>
    <row r="17" spans="1:38">
      <c r="B17" t="s">
        <v>17</v>
      </c>
      <c r="C17">
        <v>2955</v>
      </c>
      <c r="D17">
        <v>1792</v>
      </c>
      <c r="E17">
        <v>1588</v>
      </c>
      <c r="F17">
        <v>1219</v>
      </c>
      <c r="G17">
        <v>722</v>
      </c>
      <c r="H17">
        <v>713</v>
      </c>
      <c r="I17">
        <v>625</v>
      </c>
      <c r="J17">
        <v>543</v>
      </c>
      <c r="K17">
        <v>469</v>
      </c>
      <c r="L17">
        <v>519</v>
      </c>
      <c r="M17">
        <v>425</v>
      </c>
      <c r="N17">
        <v>392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2955</v>
      </c>
      <c r="AB17">
        <v>1792</v>
      </c>
      <c r="AC17">
        <v>1588</v>
      </c>
      <c r="AD17">
        <v>1219</v>
      </c>
      <c r="AE17">
        <v>722</v>
      </c>
      <c r="AF17">
        <v>713</v>
      </c>
      <c r="AG17">
        <v>625</v>
      </c>
      <c r="AH17">
        <v>543</v>
      </c>
      <c r="AI17">
        <v>469</v>
      </c>
      <c r="AJ17">
        <v>519</v>
      </c>
      <c r="AK17">
        <v>425</v>
      </c>
      <c r="AL17">
        <v>392</v>
      </c>
    </row>
    <row r="18" spans="1:38">
      <c r="B18" t="s">
        <v>18</v>
      </c>
      <c r="C18">
        <v>146</v>
      </c>
      <c r="D18">
        <v>151</v>
      </c>
      <c r="E18">
        <v>150</v>
      </c>
      <c r="F18">
        <v>196</v>
      </c>
      <c r="G18">
        <v>108</v>
      </c>
      <c r="H18">
        <v>90</v>
      </c>
      <c r="I18">
        <v>84</v>
      </c>
      <c r="J18">
        <v>71</v>
      </c>
      <c r="K18">
        <v>59</v>
      </c>
      <c r="L18">
        <v>2</v>
      </c>
      <c r="M18">
        <v>2</v>
      </c>
      <c r="N18">
        <v>2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146</v>
      </c>
      <c r="AB18">
        <v>151</v>
      </c>
      <c r="AC18">
        <v>150</v>
      </c>
      <c r="AD18">
        <v>196</v>
      </c>
      <c r="AE18">
        <v>108</v>
      </c>
      <c r="AF18">
        <v>90</v>
      </c>
      <c r="AG18">
        <v>84</v>
      </c>
      <c r="AH18">
        <v>71</v>
      </c>
      <c r="AI18">
        <v>59</v>
      </c>
      <c r="AJ18">
        <v>2</v>
      </c>
      <c r="AK18">
        <v>2</v>
      </c>
      <c r="AL18">
        <v>2</v>
      </c>
    </row>
    <row r="19" spans="1:38">
      <c r="A19" t="s">
        <v>78</v>
      </c>
      <c r="B19" t="s">
        <v>3</v>
      </c>
      <c r="C19">
        <v>3493024</v>
      </c>
      <c r="D19">
        <v>3548577</v>
      </c>
      <c r="E19">
        <v>3655599</v>
      </c>
      <c r="F19">
        <v>3694355</v>
      </c>
      <c r="G19">
        <v>3781193</v>
      </c>
      <c r="H19">
        <v>3931954</v>
      </c>
      <c r="I19">
        <v>4105329</v>
      </c>
      <c r="J19">
        <v>4302549</v>
      </c>
      <c r="K19">
        <v>4471358</v>
      </c>
      <c r="L19">
        <v>4656290</v>
      </c>
      <c r="M19">
        <v>4844940</v>
      </c>
      <c r="N19">
        <v>5045997</v>
      </c>
      <c r="O19">
        <v>6567</v>
      </c>
      <c r="P19">
        <v>6938</v>
      </c>
      <c r="Q19">
        <v>7640</v>
      </c>
      <c r="R19">
        <v>9009</v>
      </c>
      <c r="S19">
        <v>10462</v>
      </c>
      <c r="T19">
        <v>11385</v>
      </c>
      <c r="U19">
        <v>12643</v>
      </c>
      <c r="V19">
        <v>14230</v>
      </c>
      <c r="W19">
        <v>15340</v>
      </c>
      <c r="X19">
        <v>16353</v>
      </c>
      <c r="Y19">
        <v>17275</v>
      </c>
      <c r="Z19">
        <v>18345</v>
      </c>
      <c r="AA19">
        <v>3499591</v>
      </c>
      <c r="AB19">
        <v>3555515</v>
      </c>
      <c r="AC19">
        <v>3663239</v>
      </c>
      <c r="AD19">
        <v>3703364</v>
      </c>
      <c r="AE19">
        <v>3791655</v>
      </c>
      <c r="AF19">
        <v>3943339</v>
      </c>
      <c r="AG19">
        <v>4117972</v>
      </c>
      <c r="AH19">
        <v>4316779</v>
      </c>
      <c r="AI19">
        <v>4486698</v>
      </c>
      <c r="AJ19">
        <v>4672643</v>
      </c>
      <c r="AK19">
        <v>4862215</v>
      </c>
      <c r="AL19">
        <v>5064342</v>
      </c>
    </row>
    <row r="20" spans="1:38">
      <c r="B20" t="s">
        <v>5</v>
      </c>
      <c r="C20">
        <v>29536</v>
      </c>
      <c r="D20">
        <v>31479</v>
      </c>
      <c r="E20">
        <v>33035</v>
      </c>
      <c r="F20">
        <v>37478</v>
      </c>
      <c r="G20">
        <v>44325</v>
      </c>
      <c r="H20">
        <v>43005</v>
      </c>
      <c r="I20">
        <v>49053</v>
      </c>
      <c r="J20">
        <v>54366</v>
      </c>
      <c r="K20">
        <v>56041</v>
      </c>
      <c r="L20">
        <v>56153</v>
      </c>
      <c r="M20">
        <v>59394</v>
      </c>
      <c r="N20">
        <v>60463</v>
      </c>
      <c r="O20">
        <v>17</v>
      </c>
      <c r="P20">
        <v>20</v>
      </c>
      <c r="Q20">
        <v>27</v>
      </c>
      <c r="R20">
        <v>33</v>
      </c>
      <c r="S20">
        <v>38</v>
      </c>
      <c r="T20">
        <v>44</v>
      </c>
      <c r="U20">
        <v>47</v>
      </c>
      <c r="V20">
        <v>62</v>
      </c>
      <c r="W20">
        <v>61</v>
      </c>
      <c r="X20">
        <v>62</v>
      </c>
      <c r="Y20">
        <v>66</v>
      </c>
      <c r="Z20">
        <v>76</v>
      </c>
      <c r="AA20">
        <v>29553</v>
      </c>
      <c r="AB20">
        <v>31499</v>
      </c>
      <c r="AC20">
        <v>33062</v>
      </c>
      <c r="AD20">
        <v>37511</v>
      </c>
      <c r="AE20">
        <v>44363</v>
      </c>
      <c r="AF20">
        <v>43049</v>
      </c>
      <c r="AG20">
        <v>49100</v>
      </c>
      <c r="AH20">
        <v>54428</v>
      </c>
      <c r="AI20">
        <v>56102</v>
      </c>
      <c r="AJ20">
        <v>56215</v>
      </c>
      <c r="AK20">
        <v>59460</v>
      </c>
      <c r="AL20">
        <v>60539</v>
      </c>
    </row>
    <row r="21" spans="1:38">
      <c r="B21" t="s">
        <v>6</v>
      </c>
      <c r="C21">
        <v>332854</v>
      </c>
      <c r="D21">
        <v>337411</v>
      </c>
      <c r="E21">
        <v>360724</v>
      </c>
      <c r="F21">
        <v>409295</v>
      </c>
      <c r="G21">
        <v>481860</v>
      </c>
      <c r="H21">
        <v>542502</v>
      </c>
      <c r="I21">
        <v>605773</v>
      </c>
      <c r="J21">
        <v>697360</v>
      </c>
      <c r="K21">
        <v>752218</v>
      </c>
      <c r="L21">
        <v>795081</v>
      </c>
      <c r="M21">
        <v>917176</v>
      </c>
      <c r="N21">
        <v>992888</v>
      </c>
      <c r="O21">
        <v>1840</v>
      </c>
      <c r="P21">
        <v>1890</v>
      </c>
      <c r="Q21">
        <v>2123</v>
      </c>
      <c r="R21">
        <v>2966</v>
      </c>
      <c r="S21">
        <v>4059</v>
      </c>
      <c r="T21">
        <v>4860</v>
      </c>
      <c r="U21">
        <v>5834</v>
      </c>
      <c r="V21">
        <v>7369</v>
      </c>
      <c r="W21">
        <v>8212</v>
      </c>
      <c r="X21">
        <v>8972</v>
      </c>
      <c r="Y21">
        <v>10307</v>
      </c>
      <c r="Z21">
        <v>11321</v>
      </c>
      <c r="AA21">
        <v>334694</v>
      </c>
      <c r="AB21">
        <v>339301</v>
      </c>
      <c r="AC21">
        <v>362847</v>
      </c>
      <c r="AD21">
        <v>412261</v>
      </c>
      <c r="AE21">
        <v>485919</v>
      </c>
      <c r="AF21">
        <v>547362</v>
      </c>
      <c r="AG21">
        <v>611607</v>
      </c>
      <c r="AH21">
        <v>704729</v>
      </c>
      <c r="AI21">
        <v>760430</v>
      </c>
      <c r="AJ21">
        <v>804053</v>
      </c>
      <c r="AK21">
        <v>927483</v>
      </c>
      <c r="AL21">
        <v>1004209</v>
      </c>
    </row>
    <row r="22" spans="1:38">
      <c r="B22" t="s">
        <v>7</v>
      </c>
      <c r="C22">
        <v>562869</v>
      </c>
      <c r="D22">
        <v>575001</v>
      </c>
      <c r="E22">
        <v>598538</v>
      </c>
      <c r="F22">
        <v>656364</v>
      </c>
      <c r="G22">
        <v>749668</v>
      </c>
      <c r="H22">
        <v>817670</v>
      </c>
      <c r="I22">
        <v>881453</v>
      </c>
      <c r="J22">
        <v>970469</v>
      </c>
      <c r="K22">
        <v>1025685</v>
      </c>
      <c r="L22">
        <v>1071591</v>
      </c>
      <c r="M22">
        <v>1192445</v>
      </c>
      <c r="N22">
        <v>1275424</v>
      </c>
      <c r="O22">
        <v>1871</v>
      </c>
      <c r="P22">
        <v>2028</v>
      </c>
      <c r="Q22">
        <v>2383</v>
      </c>
      <c r="R22">
        <v>3071</v>
      </c>
      <c r="S22">
        <v>3619</v>
      </c>
      <c r="T22">
        <v>3864</v>
      </c>
      <c r="U22">
        <v>4240</v>
      </c>
      <c r="V22">
        <v>4406</v>
      </c>
      <c r="W22">
        <v>4695</v>
      </c>
      <c r="X22">
        <v>4935</v>
      </c>
      <c r="Y22">
        <v>4802</v>
      </c>
      <c r="Z22">
        <v>4960</v>
      </c>
      <c r="AA22">
        <v>564740</v>
      </c>
      <c r="AB22">
        <v>577029</v>
      </c>
      <c r="AC22">
        <v>600921</v>
      </c>
      <c r="AD22">
        <v>659435</v>
      </c>
      <c r="AE22">
        <v>753287</v>
      </c>
      <c r="AF22">
        <v>821534</v>
      </c>
      <c r="AG22">
        <v>885693</v>
      </c>
      <c r="AH22">
        <v>974875</v>
      </c>
      <c r="AI22">
        <v>1030380</v>
      </c>
      <c r="AJ22">
        <v>1076526</v>
      </c>
      <c r="AK22">
        <v>1197247</v>
      </c>
      <c r="AL22">
        <v>1280384</v>
      </c>
    </row>
    <row r="23" spans="1:38">
      <c r="B23" t="s">
        <v>8</v>
      </c>
      <c r="C23">
        <v>548438</v>
      </c>
      <c r="D23">
        <v>560411</v>
      </c>
      <c r="E23">
        <v>587886</v>
      </c>
      <c r="F23">
        <v>628962</v>
      </c>
      <c r="G23">
        <v>703968</v>
      </c>
      <c r="H23">
        <v>760026</v>
      </c>
      <c r="I23">
        <v>815100</v>
      </c>
      <c r="J23">
        <v>888722</v>
      </c>
      <c r="K23">
        <v>931856</v>
      </c>
      <c r="L23">
        <v>969834</v>
      </c>
      <c r="M23">
        <v>1144889</v>
      </c>
      <c r="N23">
        <v>1211056</v>
      </c>
      <c r="O23">
        <v>1196</v>
      </c>
      <c r="P23">
        <v>1297</v>
      </c>
      <c r="Q23">
        <v>1366</v>
      </c>
      <c r="R23">
        <v>1390</v>
      </c>
      <c r="S23">
        <v>1425</v>
      </c>
      <c r="T23">
        <v>1411</v>
      </c>
      <c r="U23">
        <v>1413</v>
      </c>
      <c r="V23">
        <v>1434</v>
      </c>
      <c r="W23">
        <v>1444</v>
      </c>
      <c r="X23">
        <v>1476</v>
      </c>
      <c r="Y23">
        <v>1407</v>
      </c>
      <c r="Z23">
        <v>1354</v>
      </c>
      <c r="AA23">
        <v>549634</v>
      </c>
      <c r="AB23">
        <v>561708</v>
      </c>
      <c r="AC23">
        <v>589252</v>
      </c>
      <c r="AD23">
        <v>630352</v>
      </c>
      <c r="AE23">
        <v>705393</v>
      </c>
      <c r="AF23">
        <v>761437</v>
      </c>
      <c r="AG23">
        <v>816513</v>
      </c>
      <c r="AH23">
        <v>890156</v>
      </c>
      <c r="AI23">
        <v>933300</v>
      </c>
      <c r="AJ23">
        <v>971310</v>
      </c>
      <c r="AK23">
        <v>1146296</v>
      </c>
      <c r="AL23">
        <v>1212410</v>
      </c>
    </row>
    <row r="24" spans="1:38">
      <c r="B24" t="s">
        <v>9</v>
      </c>
      <c r="C24">
        <v>523623</v>
      </c>
      <c r="D24">
        <v>528800</v>
      </c>
      <c r="E24">
        <v>552571</v>
      </c>
      <c r="F24">
        <v>599289</v>
      </c>
      <c r="G24">
        <v>764494</v>
      </c>
      <c r="H24">
        <v>839030</v>
      </c>
      <c r="I24">
        <v>893758</v>
      </c>
      <c r="J24">
        <v>967273</v>
      </c>
      <c r="K24">
        <v>999274</v>
      </c>
      <c r="L24">
        <v>1036765</v>
      </c>
      <c r="M24">
        <v>985177</v>
      </c>
      <c r="N24">
        <v>1014786</v>
      </c>
      <c r="O24">
        <v>740</v>
      </c>
      <c r="P24">
        <v>777</v>
      </c>
      <c r="Q24">
        <v>803</v>
      </c>
      <c r="R24">
        <v>771</v>
      </c>
      <c r="S24">
        <v>753</v>
      </c>
      <c r="T24">
        <v>733</v>
      </c>
      <c r="U24">
        <v>702</v>
      </c>
      <c r="V24">
        <v>632</v>
      </c>
      <c r="W24">
        <v>620</v>
      </c>
      <c r="X24">
        <v>614</v>
      </c>
      <c r="Y24">
        <v>500</v>
      </c>
      <c r="Z24">
        <v>468</v>
      </c>
      <c r="AA24">
        <v>524363</v>
      </c>
      <c r="AB24">
        <v>529577</v>
      </c>
      <c r="AC24">
        <v>553374</v>
      </c>
      <c r="AD24">
        <v>600060</v>
      </c>
      <c r="AE24">
        <v>765247</v>
      </c>
      <c r="AF24">
        <v>839763</v>
      </c>
      <c r="AG24">
        <v>894460</v>
      </c>
      <c r="AH24">
        <v>967905</v>
      </c>
      <c r="AI24">
        <v>999894</v>
      </c>
      <c r="AJ24">
        <v>1037379</v>
      </c>
      <c r="AK24">
        <v>985677</v>
      </c>
      <c r="AL24">
        <v>1015254</v>
      </c>
    </row>
    <row r="25" spans="1:38">
      <c r="B25" t="s">
        <v>10</v>
      </c>
      <c r="C25">
        <v>641162</v>
      </c>
      <c r="D25">
        <v>645347</v>
      </c>
      <c r="E25">
        <v>666580</v>
      </c>
      <c r="F25">
        <v>690244</v>
      </c>
      <c r="G25">
        <v>591973</v>
      </c>
      <c r="H25">
        <v>582756</v>
      </c>
      <c r="I25">
        <v>581158</v>
      </c>
      <c r="J25">
        <v>609826</v>
      </c>
      <c r="K25">
        <v>596350</v>
      </c>
      <c r="L25">
        <v>575063</v>
      </c>
      <c r="M25">
        <v>455726</v>
      </c>
      <c r="N25">
        <v>409300</v>
      </c>
      <c r="O25">
        <v>460</v>
      </c>
      <c r="P25">
        <v>461</v>
      </c>
      <c r="Q25">
        <v>479</v>
      </c>
      <c r="R25">
        <v>443</v>
      </c>
      <c r="S25">
        <v>372</v>
      </c>
      <c r="T25">
        <v>327</v>
      </c>
      <c r="U25">
        <v>309</v>
      </c>
      <c r="V25">
        <v>295</v>
      </c>
      <c r="W25">
        <v>274</v>
      </c>
      <c r="X25">
        <v>248</v>
      </c>
      <c r="Y25">
        <v>176</v>
      </c>
      <c r="Z25">
        <v>152</v>
      </c>
      <c r="AA25">
        <v>641622</v>
      </c>
      <c r="AB25">
        <v>645808</v>
      </c>
      <c r="AC25">
        <v>667059</v>
      </c>
      <c r="AD25">
        <v>690687</v>
      </c>
      <c r="AE25">
        <v>592345</v>
      </c>
      <c r="AF25">
        <v>583083</v>
      </c>
      <c r="AG25">
        <v>581467</v>
      </c>
      <c r="AH25">
        <v>610121</v>
      </c>
      <c r="AI25">
        <v>596624</v>
      </c>
      <c r="AJ25">
        <v>575311</v>
      </c>
      <c r="AK25">
        <v>455902</v>
      </c>
      <c r="AL25">
        <v>409452</v>
      </c>
    </row>
    <row r="26" spans="1:38">
      <c r="B26" t="s">
        <v>11</v>
      </c>
      <c r="C26">
        <v>458335</v>
      </c>
      <c r="D26">
        <v>464112</v>
      </c>
      <c r="E26">
        <v>448060</v>
      </c>
      <c r="F26">
        <v>415276</v>
      </c>
      <c r="G26">
        <v>380902</v>
      </c>
      <c r="H26">
        <v>316499</v>
      </c>
      <c r="I26">
        <v>250360</v>
      </c>
      <c r="J26">
        <v>92269</v>
      </c>
      <c r="K26">
        <v>89251</v>
      </c>
      <c r="L26">
        <v>127765</v>
      </c>
      <c r="M26">
        <v>76149</v>
      </c>
      <c r="N26">
        <v>70845</v>
      </c>
      <c r="O26">
        <v>256</v>
      </c>
      <c r="P26">
        <v>270</v>
      </c>
      <c r="Q26">
        <v>276</v>
      </c>
      <c r="R26">
        <v>233</v>
      </c>
      <c r="S26">
        <v>174</v>
      </c>
      <c r="T26">
        <v>144</v>
      </c>
      <c r="U26">
        <v>97</v>
      </c>
      <c r="V26">
        <v>30</v>
      </c>
      <c r="W26">
        <v>30</v>
      </c>
      <c r="X26">
        <v>40</v>
      </c>
      <c r="Y26">
        <v>15</v>
      </c>
      <c r="Z26">
        <v>14</v>
      </c>
      <c r="AA26">
        <v>458591</v>
      </c>
      <c r="AB26">
        <v>464382</v>
      </c>
      <c r="AC26">
        <v>448336</v>
      </c>
      <c r="AD26">
        <v>415509</v>
      </c>
      <c r="AE26">
        <v>381076</v>
      </c>
      <c r="AF26">
        <v>316643</v>
      </c>
      <c r="AG26">
        <v>250457</v>
      </c>
      <c r="AH26">
        <v>92299</v>
      </c>
      <c r="AI26">
        <v>89281</v>
      </c>
      <c r="AJ26">
        <v>127805</v>
      </c>
      <c r="AK26">
        <v>76164</v>
      </c>
      <c r="AL26">
        <v>70859</v>
      </c>
    </row>
    <row r="27" spans="1:38">
      <c r="B27" t="s">
        <v>12</v>
      </c>
      <c r="C27">
        <v>280600</v>
      </c>
      <c r="D27">
        <v>283967</v>
      </c>
      <c r="E27">
        <v>331972</v>
      </c>
      <c r="F27">
        <v>233919</v>
      </c>
      <c r="G27">
        <v>50036</v>
      </c>
      <c r="H27">
        <v>19331</v>
      </c>
      <c r="I27">
        <v>18534</v>
      </c>
      <c r="J27">
        <v>15825</v>
      </c>
      <c r="K27">
        <v>14640</v>
      </c>
      <c r="L27">
        <v>18133</v>
      </c>
      <c r="M27">
        <v>8794</v>
      </c>
      <c r="N27">
        <v>6407</v>
      </c>
      <c r="O27">
        <v>168</v>
      </c>
      <c r="P27">
        <v>168</v>
      </c>
      <c r="Q27">
        <v>159</v>
      </c>
      <c r="R27">
        <v>99</v>
      </c>
      <c r="S27">
        <v>21</v>
      </c>
      <c r="T27">
        <v>2</v>
      </c>
      <c r="U27">
        <v>1</v>
      </c>
      <c r="V27">
        <v>2</v>
      </c>
      <c r="W27">
        <v>4</v>
      </c>
      <c r="X27">
        <v>6</v>
      </c>
      <c r="Y27">
        <v>2</v>
      </c>
      <c r="Z27">
        <v>0</v>
      </c>
      <c r="AA27">
        <v>280768</v>
      </c>
      <c r="AB27">
        <v>284135</v>
      </c>
      <c r="AC27">
        <v>332131</v>
      </c>
      <c r="AD27">
        <v>234018</v>
      </c>
      <c r="AE27">
        <v>50057</v>
      </c>
      <c r="AF27">
        <v>19333</v>
      </c>
      <c r="AG27">
        <v>18535</v>
      </c>
      <c r="AH27">
        <v>15827</v>
      </c>
      <c r="AI27">
        <v>14644</v>
      </c>
      <c r="AJ27">
        <v>18139</v>
      </c>
      <c r="AK27">
        <v>8796</v>
      </c>
      <c r="AL27">
        <v>6407</v>
      </c>
    </row>
    <row r="28" spans="1:38">
      <c r="B28" t="s">
        <v>13</v>
      </c>
      <c r="C28">
        <v>97130</v>
      </c>
      <c r="D28">
        <v>105179</v>
      </c>
      <c r="E28">
        <v>57295</v>
      </c>
      <c r="F28">
        <v>12563</v>
      </c>
      <c r="G28">
        <v>6972</v>
      </c>
      <c r="H28">
        <v>5068</v>
      </c>
      <c r="I28">
        <v>4532</v>
      </c>
      <c r="J28">
        <v>1520</v>
      </c>
      <c r="K28">
        <v>1370</v>
      </c>
      <c r="L28">
        <v>1239</v>
      </c>
      <c r="M28">
        <v>1591</v>
      </c>
      <c r="N28">
        <v>1830</v>
      </c>
      <c r="O28">
        <v>19</v>
      </c>
      <c r="P28">
        <v>27</v>
      </c>
      <c r="Q28">
        <v>24</v>
      </c>
      <c r="R28">
        <v>2</v>
      </c>
      <c r="S28">
        <v>1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97149</v>
      </c>
      <c r="AB28">
        <v>105206</v>
      </c>
      <c r="AC28">
        <v>57319</v>
      </c>
      <c r="AD28">
        <v>12565</v>
      </c>
      <c r="AE28">
        <v>6973</v>
      </c>
      <c r="AF28">
        <v>5068</v>
      </c>
      <c r="AG28">
        <v>4532</v>
      </c>
      <c r="AH28">
        <v>1520</v>
      </c>
      <c r="AI28">
        <v>1370</v>
      </c>
      <c r="AJ28">
        <v>1239</v>
      </c>
      <c r="AK28">
        <v>1591</v>
      </c>
      <c r="AL28">
        <v>1830</v>
      </c>
    </row>
    <row r="29" spans="1:38">
      <c r="B29" t="s">
        <v>14</v>
      </c>
      <c r="C29">
        <v>6711</v>
      </c>
      <c r="D29">
        <v>6436</v>
      </c>
      <c r="E29">
        <v>8534</v>
      </c>
      <c r="F29">
        <v>3944</v>
      </c>
      <c r="G29">
        <v>1552</v>
      </c>
      <c r="H29">
        <v>1376</v>
      </c>
      <c r="I29">
        <v>1889</v>
      </c>
      <c r="J29">
        <v>2138</v>
      </c>
      <c r="K29">
        <v>2041</v>
      </c>
      <c r="L29">
        <v>1673</v>
      </c>
      <c r="M29">
        <v>1695</v>
      </c>
      <c r="N29">
        <v>1256</v>
      </c>
      <c r="O29">
        <v>0</v>
      </c>
      <c r="P29">
        <v>0</v>
      </c>
      <c r="Q29">
        <v>0</v>
      </c>
      <c r="R29">
        <v>1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6711</v>
      </c>
      <c r="AB29">
        <v>6436</v>
      </c>
      <c r="AC29">
        <v>8534</v>
      </c>
      <c r="AD29">
        <v>3945</v>
      </c>
      <c r="AE29">
        <v>1552</v>
      </c>
      <c r="AF29">
        <v>1376</v>
      </c>
      <c r="AG29">
        <v>1889</v>
      </c>
      <c r="AH29">
        <v>2138</v>
      </c>
      <c r="AI29">
        <v>2041</v>
      </c>
      <c r="AJ29">
        <v>1673</v>
      </c>
      <c r="AK29">
        <v>1695</v>
      </c>
      <c r="AL29">
        <v>1256</v>
      </c>
    </row>
    <row r="30" spans="1:38">
      <c r="B30" t="s">
        <v>15</v>
      </c>
      <c r="C30">
        <v>3120</v>
      </c>
      <c r="D30">
        <v>2891</v>
      </c>
      <c r="E30">
        <v>3433</v>
      </c>
      <c r="F30">
        <v>1928</v>
      </c>
      <c r="G30">
        <v>1237</v>
      </c>
      <c r="H30">
        <v>1941</v>
      </c>
      <c r="I30">
        <v>1372</v>
      </c>
      <c r="J30">
        <v>679</v>
      </c>
      <c r="K30">
        <v>693</v>
      </c>
      <c r="L30">
        <v>1154</v>
      </c>
      <c r="M30">
        <v>282</v>
      </c>
      <c r="N30">
        <v>246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3120</v>
      </c>
      <c r="AB30">
        <v>2891</v>
      </c>
      <c r="AC30">
        <v>3433</v>
      </c>
      <c r="AD30">
        <v>1928</v>
      </c>
      <c r="AE30">
        <v>1237</v>
      </c>
      <c r="AF30">
        <v>1941</v>
      </c>
      <c r="AG30">
        <v>1372</v>
      </c>
      <c r="AH30">
        <v>679</v>
      </c>
      <c r="AI30">
        <v>693</v>
      </c>
      <c r="AJ30">
        <v>1154</v>
      </c>
      <c r="AK30">
        <v>282</v>
      </c>
      <c r="AL30">
        <v>246</v>
      </c>
    </row>
    <row r="31" spans="1:38">
      <c r="B31" t="s">
        <v>16</v>
      </c>
      <c r="C31">
        <v>7084</v>
      </c>
      <c r="D31">
        <v>6356</v>
      </c>
      <c r="E31">
        <v>5931</v>
      </c>
      <c r="F31">
        <v>4250</v>
      </c>
      <c r="G31">
        <v>3733</v>
      </c>
      <c r="H31">
        <v>2281</v>
      </c>
      <c r="I31">
        <v>1912</v>
      </c>
      <c r="J31">
        <v>1730</v>
      </c>
      <c r="K31">
        <v>1628</v>
      </c>
      <c r="L31">
        <v>1543</v>
      </c>
      <c r="M31">
        <v>1386</v>
      </c>
      <c r="N31">
        <v>1286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7084</v>
      </c>
      <c r="AB31">
        <v>6356</v>
      </c>
      <c r="AC31">
        <v>5931</v>
      </c>
      <c r="AD31">
        <v>4250</v>
      </c>
      <c r="AE31">
        <v>3733</v>
      </c>
      <c r="AF31">
        <v>2281</v>
      </c>
      <c r="AG31">
        <v>1912</v>
      </c>
      <c r="AH31">
        <v>1730</v>
      </c>
      <c r="AI31">
        <v>1628</v>
      </c>
      <c r="AJ31">
        <v>1543</v>
      </c>
      <c r="AK31">
        <v>1386</v>
      </c>
      <c r="AL31">
        <v>1286</v>
      </c>
    </row>
    <row r="32" spans="1:38">
      <c r="B32" t="s">
        <v>17</v>
      </c>
      <c r="C32">
        <v>1484</v>
      </c>
      <c r="D32">
        <v>1111</v>
      </c>
      <c r="E32">
        <v>962</v>
      </c>
      <c r="F32">
        <v>729</v>
      </c>
      <c r="G32">
        <v>417</v>
      </c>
      <c r="H32">
        <v>422</v>
      </c>
      <c r="I32">
        <v>394</v>
      </c>
      <c r="J32">
        <v>335</v>
      </c>
      <c r="K32">
        <v>280</v>
      </c>
      <c r="L32">
        <v>296</v>
      </c>
      <c r="M32">
        <v>236</v>
      </c>
      <c r="N32">
        <v>210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1484</v>
      </c>
      <c r="AB32">
        <v>1111</v>
      </c>
      <c r="AC32">
        <v>962</v>
      </c>
      <c r="AD32">
        <v>729</v>
      </c>
      <c r="AE32">
        <v>417</v>
      </c>
      <c r="AF32">
        <v>422</v>
      </c>
      <c r="AG32">
        <v>394</v>
      </c>
      <c r="AH32">
        <v>335</v>
      </c>
      <c r="AI32">
        <v>280</v>
      </c>
      <c r="AJ32">
        <v>296</v>
      </c>
      <c r="AK32">
        <v>236</v>
      </c>
      <c r="AL32">
        <v>210</v>
      </c>
    </row>
    <row r="33" spans="1:38">
      <c r="B33" t="s">
        <v>18</v>
      </c>
      <c r="C33">
        <v>78</v>
      </c>
      <c r="D33">
        <v>76</v>
      </c>
      <c r="E33">
        <v>78</v>
      </c>
      <c r="F33">
        <v>114</v>
      </c>
      <c r="G33">
        <v>56</v>
      </c>
      <c r="H33">
        <v>47</v>
      </c>
      <c r="I33">
        <v>41</v>
      </c>
      <c r="J33">
        <v>37</v>
      </c>
      <c r="K33">
        <v>31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78</v>
      </c>
      <c r="AB33">
        <v>76</v>
      </c>
      <c r="AC33">
        <v>78</v>
      </c>
      <c r="AD33">
        <v>114</v>
      </c>
      <c r="AE33">
        <v>56</v>
      </c>
      <c r="AF33">
        <v>47</v>
      </c>
      <c r="AG33">
        <v>41</v>
      </c>
      <c r="AH33">
        <v>37</v>
      </c>
      <c r="AI33">
        <v>31</v>
      </c>
      <c r="AJ33">
        <v>0</v>
      </c>
      <c r="AK33">
        <v>0</v>
      </c>
      <c r="AL33">
        <v>0</v>
      </c>
    </row>
    <row r="34" spans="1:38">
      <c r="A34" t="s">
        <v>79</v>
      </c>
      <c r="B34" t="s">
        <v>3</v>
      </c>
      <c r="C34">
        <v>1652474</v>
      </c>
      <c r="D34">
        <v>1766317</v>
      </c>
      <c r="E34">
        <v>1928311</v>
      </c>
      <c r="F34">
        <v>2029558</v>
      </c>
      <c r="G34">
        <v>2122548</v>
      </c>
      <c r="H34">
        <v>2234522</v>
      </c>
      <c r="I34">
        <v>2374688</v>
      </c>
      <c r="J34">
        <v>2537629</v>
      </c>
      <c r="K34">
        <v>2666825</v>
      </c>
      <c r="L34">
        <v>2805083</v>
      </c>
      <c r="M34">
        <v>2977321</v>
      </c>
      <c r="N34">
        <v>3172936</v>
      </c>
      <c r="O34">
        <v>4287817</v>
      </c>
      <c r="P34">
        <v>4403561</v>
      </c>
      <c r="Q34">
        <v>4518795</v>
      </c>
      <c r="R34">
        <v>4647400</v>
      </c>
      <c r="S34">
        <v>4792939</v>
      </c>
      <c r="T34">
        <v>4947803</v>
      </c>
      <c r="U34">
        <v>5125404</v>
      </c>
      <c r="V34">
        <v>5319287</v>
      </c>
      <c r="W34">
        <v>5494908</v>
      </c>
      <c r="X34">
        <v>5651942</v>
      </c>
      <c r="Y34">
        <v>5820780</v>
      </c>
      <c r="Z34">
        <v>5992078</v>
      </c>
      <c r="AA34">
        <v>5940291</v>
      </c>
      <c r="AB34">
        <v>6169878</v>
      </c>
      <c r="AC34">
        <v>6447106</v>
      </c>
      <c r="AD34">
        <v>6676958</v>
      </c>
      <c r="AE34">
        <v>6915487</v>
      </c>
      <c r="AF34">
        <v>7182325</v>
      </c>
      <c r="AG34">
        <v>7500092</v>
      </c>
      <c r="AH34">
        <v>7856916</v>
      </c>
      <c r="AI34">
        <v>8161733</v>
      </c>
      <c r="AJ34">
        <v>8457025</v>
      </c>
      <c r="AK34">
        <v>8798101</v>
      </c>
      <c r="AL34">
        <v>9165014</v>
      </c>
    </row>
    <row r="35" spans="1:38">
      <c r="B35" t="s">
        <v>5</v>
      </c>
      <c r="C35">
        <v>2163</v>
      </c>
      <c r="D35">
        <v>2350</v>
      </c>
      <c r="E35">
        <v>2558</v>
      </c>
      <c r="F35">
        <v>2777</v>
      </c>
      <c r="G35">
        <v>3328</v>
      </c>
      <c r="H35">
        <v>3673</v>
      </c>
      <c r="I35">
        <v>3996</v>
      </c>
      <c r="J35">
        <v>5033</v>
      </c>
      <c r="K35">
        <v>5447</v>
      </c>
      <c r="L35">
        <v>5698</v>
      </c>
      <c r="M35">
        <v>6253</v>
      </c>
      <c r="N35">
        <v>7309</v>
      </c>
      <c r="O35">
        <v>1769</v>
      </c>
      <c r="P35">
        <v>1993</v>
      </c>
      <c r="Q35">
        <v>2265</v>
      </c>
      <c r="R35">
        <v>2594</v>
      </c>
      <c r="S35">
        <v>3046</v>
      </c>
      <c r="T35">
        <v>3484</v>
      </c>
      <c r="U35">
        <v>3386</v>
      </c>
      <c r="V35">
        <v>4538</v>
      </c>
      <c r="W35">
        <v>4961</v>
      </c>
      <c r="X35">
        <v>5312</v>
      </c>
      <c r="Y35">
        <v>5648</v>
      </c>
      <c r="Z35">
        <v>5862</v>
      </c>
      <c r="AA35">
        <v>3932</v>
      </c>
      <c r="AB35">
        <v>4343</v>
      </c>
      <c r="AC35">
        <v>4823</v>
      </c>
      <c r="AD35">
        <v>5371</v>
      </c>
      <c r="AE35">
        <v>6374</v>
      </c>
      <c r="AF35">
        <v>7157</v>
      </c>
      <c r="AG35">
        <v>7382</v>
      </c>
      <c r="AH35">
        <v>9571</v>
      </c>
      <c r="AI35">
        <v>10408</v>
      </c>
      <c r="AJ35">
        <v>11010</v>
      </c>
      <c r="AK35">
        <v>11901</v>
      </c>
      <c r="AL35">
        <v>13171</v>
      </c>
    </row>
    <row r="36" spans="1:38">
      <c r="B36" t="s">
        <v>6</v>
      </c>
      <c r="C36">
        <v>920233</v>
      </c>
      <c r="D36">
        <v>975008</v>
      </c>
      <c r="E36">
        <v>1101776</v>
      </c>
      <c r="F36">
        <v>1210427</v>
      </c>
      <c r="G36">
        <v>1332573</v>
      </c>
      <c r="H36">
        <v>1436352</v>
      </c>
      <c r="I36">
        <v>1546459</v>
      </c>
      <c r="J36">
        <v>1692784</v>
      </c>
      <c r="K36">
        <v>1785803</v>
      </c>
      <c r="L36">
        <v>1871710</v>
      </c>
      <c r="M36">
        <v>2053488</v>
      </c>
      <c r="N36">
        <v>2204477</v>
      </c>
      <c r="O36">
        <v>4262322</v>
      </c>
      <c r="P36">
        <v>4376192</v>
      </c>
      <c r="Q36">
        <v>4493806</v>
      </c>
      <c r="R36">
        <v>4623692</v>
      </c>
      <c r="S36">
        <v>4770788</v>
      </c>
      <c r="T36">
        <v>4925492</v>
      </c>
      <c r="U36">
        <v>5103160</v>
      </c>
      <c r="V36">
        <v>5296411</v>
      </c>
      <c r="W36">
        <v>5471044</v>
      </c>
      <c r="X36">
        <v>5626646</v>
      </c>
      <c r="Y36">
        <v>5795956</v>
      </c>
      <c r="Z36">
        <v>5966349</v>
      </c>
      <c r="AA36">
        <v>5182555</v>
      </c>
      <c r="AB36">
        <v>5351200</v>
      </c>
      <c r="AC36">
        <v>5595582</v>
      </c>
      <c r="AD36">
        <v>5834119</v>
      </c>
      <c r="AE36">
        <v>6103361</v>
      </c>
      <c r="AF36">
        <v>6361844</v>
      </c>
      <c r="AG36">
        <v>6649619</v>
      </c>
      <c r="AH36">
        <v>6989195</v>
      </c>
      <c r="AI36">
        <v>7256847</v>
      </c>
      <c r="AJ36">
        <v>7498356</v>
      </c>
      <c r="AK36">
        <v>7849444</v>
      </c>
      <c r="AL36">
        <v>8170826</v>
      </c>
    </row>
    <row r="37" spans="1:38">
      <c r="B37" t="s">
        <v>7</v>
      </c>
      <c r="C37">
        <v>406303</v>
      </c>
      <c r="D37">
        <v>440765</v>
      </c>
      <c r="E37">
        <v>453395</v>
      </c>
      <c r="F37">
        <v>465459</v>
      </c>
      <c r="G37">
        <v>471299</v>
      </c>
      <c r="H37">
        <v>481074</v>
      </c>
      <c r="I37">
        <v>503102</v>
      </c>
      <c r="J37">
        <v>521998</v>
      </c>
      <c r="K37">
        <v>546224</v>
      </c>
      <c r="L37">
        <v>576943</v>
      </c>
      <c r="M37">
        <v>585416</v>
      </c>
      <c r="N37">
        <v>616535</v>
      </c>
      <c r="O37">
        <v>16467</v>
      </c>
      <c r="P37">
        <v>18030</v>
      </c>
      <c r="Q37">
        <v>15443</v>
      </c>
      <c r="R37">
        <v>14621</v>
      </c>
      <c r="S37">
        <v>13797</v>
      </c>
      <c r="T37">
        <v>13925</v>
      </c>
      <c r="U37">
        <v>14296</v>
      </c>
      <c r="V37">
        <v>14292</v>
      </c>
      <c r="W37">
        <v>14922</v>
      </c>
      <c r="X37">
        <v>16064</v>
      </c>
      <c r="Y37">
        <v>16026</v>
      </c>
      <c r="Z37">
        <v>17058</v>
      </c>
      <c r="AA37">
        <v>422770</v>
      </c>
      <c r="AB37">
        <v>458795</v>
      </c>
      <c r="AC37">
        <v>468838</v>
      </c>
      <c r="AD37">
        <v>480080</v>
      </c>
      <c r="AE37">
        <v>485096</v>
      </c>
      <c r="AF37">
        <v>494999</v>
      </c>
      <c r="AG37">
        <v>517398</v>
      </c>
      <c r="AH37">
        <v>536290</v>
      </c>
      <c r="AI37">
        <v>561146</v>
      </c>
      <c r="AJ37">
        <v>593007</v>
      </c>
      <c r="AK37">
        <v>601442</v>
      </c>
      <c r="AL37">
        <v>633593</v>
      </c>
    </row>
    <row r="38" spans="1:38">
      <c r="B38" t="s">
        <v>8</v>
      </c>
      <c r="C38">
        <v>165705</v>
      </c>
      <c r="D38">
        <v>178093</v>
      </c>
      <c r="E38">
        <v>190898</v>
      </c>
      <c r="F38">
        <v>185049</v>
      </c>
      <c r="G38">
        <v>172127</v>
      </c>
      <c r="H38">
        <v>171839</v>
      </c>
      <c r="I38">
        <v>176361</v>
      </c>
      <c r="J38">
        <v>175690</v>
      </c>
      <c r="K38">
        <v>181177</v>
      </c>
      <c r="L38">
        <v>190516</v>
      </c>
      <c r="M38">
        <v>182946</v>
      </c>
      <c r="N38">
        <v>188883</v>
      </c>
      <c r="O38">
        <v>3894</v>
      </c>
      <c r="P38">
        <v>4022</v>
      </c>
      <c r="Q38">
        <v>4127</v>
      </c>
      <c r="R38">
        <v>3843</v>
      </c>
      <c r="S38">
        <v>3290</v>
      </c>
      <c r="T38">
        <v>3153</v>
      </c>
      <c r="U38">
        <v>3045</v>
      </c>
      <c r="V38">
        <v>2774</v>
      </c>
      <c r="W38">
        <v>2699</v>
      </c>
      <c r="X38">
        <v>2722</v>
      </c>
      <c r="Y38">
        <v>2240</v>
      </c>
      <c r="Z38">
        <v>2041</v>
      </c>
      <c r="AA38">
        <v>169599</v>
      </c>
      <c r="AB38">
        <v>182115</v>
      </c>
      <c r="AC38">
        <v>195025</v>
      </c>
      <c r="AD38">
        <v>188892</v>
      </c>
      <c r="AE38">
        <v>175417</v>
      </c>
      <c r="AF38">
        <v>174992</v>
      </c>
      <c r="AG38">
        <v>179406</v>
      </c>
      <c r="AH38">
        <v>178464</v>
      </c>
      <c r="AI38">
        <v>183876</v>
      </c>
      <c r="AJ38">
        <v>193238</v>
      </c>
      <c r="AK38">
        <v>185186</v>
      </c>
      <c r="AL38">
        <v>190924</v>
      </c>
    </row>
    <row r="39" spans="1:38">
      <c r="B39" t="s">
        <v>9</v>
      </c>
      <c r="C39">
        <v>74556</v>
      </c>
      <c r="D39">
        <v>79860</v>
      </c>
      <c r="E39">
        <v>84856</v>
      </c>
      <c r="F39">
        <v>80762</v>
      </c>
      <c r="G39">
        <v>72534</v>
      </c>
      <c r="H39">
        <v>72571</v>
      </c>
      <c r="I39">
        <v>74389</v>
      </c>
      <c r="J39">
        <v>73927</v>
      </c>
      <c r="K39">
        <v>76771</v>
      </c>
      <c r="L39">
        <v>81725</v>
      </c>
      <c r="M39">
        <v>79844</v>
      </c>
      <c r="N39">
        <v>83970</v>
      </c>
      <c r="O39">
        <v>1717</v>
      </c>
      <c r="P39">
        <v>1696</v>
      </c>
      <c r="Q39">
        <v>1679</v>
      </c>
      <c r="R39">
        <v>1466</v>
      </c>
      <c r="S39">
        <v>1162</v>
      </c>
      <c r="T39">
        <v>987</v>
      </c>
      <c r="U39">
        <v>844</v>
      </c>
      <c r="V39">
        <v>694</v>
      </c>
      <c r="W39">
        <v>684</v>
      </c>
      <c r="X39">
        <v>632</v>
      </c>
      <c r="Y39">
        <v>602</v>
      </c>
      <c r="Z39">
        <v>515</v>
      </c>
      <c r="AA39">
        <v>76273</v>
      </c>
      <c r="AB39">
        <v>81556</v>
      </c>
      <c r="AC39">
        <v>86535</v>
      </c>
      <c r="AD39">
        <v>82228</v>
      </c>
      <c r="AE39">
        <v>73696</v>
      </c>
      <c r="AF39">
        <v>73558</v>
      </c>
      <c r="AG39">
        <v>75233</v>
      </c>
      <c r="AH39">
        <v>74621</v>
      </c>
      <c r="AI39">
        <v>77455</v>
      </c>
      <c r="AJ39">
        <v>82357</v>
      </c>
      <c r="AK39">
        <v>80446</v>
      </c>
      <c r="AL39">
        <v>84485</v>
      </c>
    </row>
    <row r="40" spans="1:38">
      <c r="B40" t="s">
        <v>10</v>
      </c>
      <c r="C40">
        <v>38804</v>
      </c>
      <c r="D40">
        <v>41320</v>
      </c>
      <c r="E40">
        <v>43724</v>
      </c>
      <c r="F40">
        <v>40351</v>
      </c>
      <c r="G40">
        <v>36338</v>
      </c>
      <c r="H40">
        <v>36466</v>
      </c>
      <c r="I40">
        <v>37961</v>
      </c>
      <c r="J40">
        <v>41095</v>
      </c>
      <c r="K40">
        <v>43258</v>
      </c>
      <c r="L40">
        <v>45902</v>
      </c>
      <c r="M40">
        <v>45820</v>
      </c>
      <c r="N40">
        <v>48831</v>
      </c>
      <c r="O40">
        <v>783</v>
      </c>
      <c r="P40">
        <v>772</v>
      </c>
      <c r="Q40">
        <v>703</v>
      </c>
      <c r="R40">
        <v>560</v>
      </c>
      <c r="S40">
        <v>463</v>
      </c>
      <c r="T40">
        <v>498</v>
      </c>
      <c r="U40">
        <v>464</v>
      </c>
      <c r="V40">
        <v>508</v>
      </c>
      <c r="W40">
        <v>534</v>
      </c>
      <c r="X40">
        <v>490</v>
      </c>
      <c r="Y40">
        <v>280</v>
      </c>
      <c r="Z40">
        <v>233</v>
      </c>
      <c r="AA40">
        <v>39587</v>
      </c>
      <c r="AB40">
        <v>42092</v>
      </c>
      <c r="AC40">
        <v>44427</v>
      </c>
      <c r="AD40">
        <v>40911</v>
      </c>
      <c r="AE40">
        <v>36801</v>
      </c>
      <c r="AF40">
        <v>36964</v>
      </c>
      <c r="AG40">
        <v>38425</v>
      </c>
      <c r="AH40">
        <v>41603</v>
      </c>
      <c r="AI40">
        <v>43792</v>
      </c>
      <c r="AJ40">
        <v>46392</v>
      </c>
      <c r="AK40">
        <v>46100</v>
      </c>
      <c r="AL40">
        <v>49064</v>
      </c>
    </row>
    <row r="41" spans="1:38">
      <c r="B41" t="s">
        <v>11</v>
      </c>
      <c r="C41">
        <v>23458</v>
      </c>
      <c r="D41">
        <v>24724</v>
      </c>
      <c r="E41">
        <v>24839</v>
      </c>
      <c r="F41">
        <v>23828</v>
      </c>
      <c r="G41">
        <v>23698</v>
      </c>
      <c r="H41">
        <v>24837</v>
      </c>
      <c r="I41">
        <v>24231</v>
      </c>
      <c r="J41">
        <v>20704</v>
      </c>
      <c r="K41">
        <v>21931</v>
      </c>
      <c r="L41">
        <v>24800</v>
      </c>
      <c r="M41">
        <v>19052</v>
      </c>
      <c r="N41">
        <v>20134</v>
      </c>
      <c r="O41">
        <v>566</v>
      </c>
      <c r="P41">
        <v>547</v>
      </c>
      <c r="Q41">
        <v>449</v>
      </c>
      <c r="R41">
        <v>420</v>
      </c>
      <c r="S41">
        <v>351</v>
      </c>
      <c r="T41">
        <v>247</v>
      </c>
      <c r="U41">
        <v>196</v>
      </c>
      <c r="V41">
        <v>62</v>
      </c>
      <c r="W41">
        <v>60</v>
      </c>
      <c r="X41">
        <v>70</v>
      </c>
      <c r="Y41">
        <v>25</v>
      </c>
      <c r="Z41">
        <v>19</v>
      </c>
      <c r="AA41">
        <v>24024</v>
      </c>
      <c r="AB41">
        <v>25271</v>
      </c>
      <c r="AC41">
        <v>25288</v>
      </c>
      <c r="AD41">
        <v>24248</v>
      </c>
      <c r="AE41">
        <v>24049</v>
      </c>
      <c r="AF41">
        <v>25084</v>
      </c>
      <c r="AG41">
        <v>24427</v>
      </c>
      <c r="AH41">
        <v>20766</v>
      </c>
      <c r="AI41">
        <v>21991</v>
      </c>
      <c r="AJ41">
        <v>24870</v>
      </c>
      <c r="AK41">
        <v>19077</v>
      </c>
      <c r="AL41">
        <v>20153</v>
      </c>
    </row>
    <row r="42" spans="1:38">
      <c r="B42" t="s">
        <v>12</v>
      </c>
      <c r="C42">
        <v>12919</v>
      </c>
      <c r="D42">
        <v>13989</v>
      </c>
      <c r="E42">
        <v>17607</v>
      </c>
      <c r="F42">
        <v>17462</v>
      </c>
      <c r="G42">
        <v>9244</v>
      </c>
      <c r="H42">
        <v>5960</v>
      </c>
      <c r="I42">
        <v>6108</v>
      </c>
      <c r="J42">
        <v>6351</v>
      </c>
      <c r="K42">
        <v>6172</v>
      </c>
      <c r="L42">
        <v>7746</v>
      </c>
      <c r="M42">
        <v>4475</v>
      </c>
      <c r="N42">
        <v>2777</v>
      </c>
      <c r="O42">
        <v>219</v>
      </c>
      <c r="P42">
        <v>222</v>
      </c>
      <c r="Q42">
        <v>282</v>
      </c>
      <c r="R42">
        <v>192</v>
      </c>
      <c r="S42">
        <v>38</v>
      </c>
      <c r="T42">
        <v>13</v>
      </c>
      <c r="U42">
        <v>12</v>
      </c>
      <c r="V42">
        <v>7</v>
      </c>
      <c r="W42">
        <v>3</v>
      </c>
      <c r="X42">
        <v>6</v>
      </c>
      <c r="Y42">
        <v>3</v>
      </c>
      <c r="Z42">
        <v>1</v>
      </c>
      <c r="AA42">
        <v>13138</v>
      </c>
      <c r="AB42">
        <v>14211</v>
      </c>
      <c r="AC42">
        <v>17889</v>
      </c>
      <c r="AD42">
        <v>17654</v>
      </c>
      <c r="AE42">
        <v>9282</v>
      </c>
      <c r="AF42">
        <v>5973</v>
      </c>
      <c r="AG42">
        <v>6120</v>
      </c>
      <c r="AH42">
        <v>6358</v>
      </c>
      <c r="AI42">
        <v>6175</v>
      </c>
      <c r="AJ42">
        <v>7752</v>
      </c>
      <c r="AK42">
        <v>4478</v>
      </c>
      <c r="AL42">
        <v>2778</v>
      </c>
    </row>
    <row r="43" spans="1:38">
      <c r="B43" t="s">
        <v>13</v>
      </c>
      <c r="C43">
        <v>7971</v>
      </c>
      <c r="D43">
        <v>9891</v>
      </c>
      <c r="E43">
        <v>7514</v>
      </c>
      <c r="F43">
        <v>2772</v>
      </c>
      <c r="G43">
        <v>1220</v>
      </c>
      <c r="H43">
        <v>1710</v>
      </c>
      <c r="I43">
        <v>2055</v>
      </c>
      <c r="J43">
        <v>23</v>
      </c>
      <c r="K43">
        <v>20</v>
      </c>
      <c r="L43">
        <v>21</v>
      </c>
      <c r="M43">
        <v>20</v>
      </c>
      <c r="N43">
        <v>14</v>
      </c>
      <c r="O43">
        <v>77</v>
      </c>
      <c r="P43">
        <v>84</v>
      </c>
      <c r="Q43">
        <v>38</v>
      </c>
      <c r="R43">
        <v>10</v>
      </c>
      <c r="S43">
        <v>4</v>
      </c>
      <c r="T43">
        <v>3</v>
      </c>
      <c r="U43">
        <v>1</v>
      </c>
      <c r="V43">
        <v>1</v>
      </c>
      <c r="W43">
        <v>1</v>
      </c>
      <c r="X43">
        <v>0</v>
      </c>
      <c r="Y43">
        <v>0</v>
      </c>
      <c r="Z43">
        <v>0</v>
      </c>
      <c r="AA43">
        <v>8048</v>
      </c>
      <c r="AB43">
        <v>9975</v>
      </c>
      <c r="AC43">
        <v>7552</v>
      </c>
      <c r="AD43">
        <v>2782</v>
      </c>
      <c r="AE43">
        <v>1224</v>
      </c>
      <c r="AF43">
        <v>1713</v>
      </c>
      <c r="AG43">
        <v>2056</v>
      </c>
      <c r="AH43">
        <v>24</v>
      </c>
      <c r="AI43">
        <v>21</v>
      </c>
      <c r="AJ43">
        <v>21</v>
      </c>
      <c r="AK43">
        <v>20</v>
      </c>
      <c r="AL43">
        <v>14</v>
      </c>
    </row>
    <row r="44" spans="1:38">
      <c r="B44" t="s">
        <v>14</v>
      </c>
      <c r="C44">
        <v>181</v>
      </c>
      <c r="D44">
        <v>166</v>
      </c>
      <c r="E44">
        <v>869</v>
      </c>
      <c r="F44">
        <v>626</v>
      </c>
      <c r="G44">
        <v>162</v>
      </c>
      <c r="H44">
        <v>25</v>
      </c>
      <c r="I44">
        <v>19</v>
      </c>
      <c r="J44">
        <v>17</v>
      </c>
      <c r="K44">
        <v>17</v>
      </c>
      <c r="L44">
        <v>18</v>
      </c>
      <c r="M44">
        <v>3</v>
      </c>
      <c r="N44">
        <v>2</v>
      </c>
      <c r="O44">
        <v>1</v>
      </c>
      <c r="P44">
        <v>1</v>
      </c>
      <c r="Q44">
        <v>2</v>
      </c>
      <c r="R44">
        <v>2</v>
      </c>
      <c r="S44">
        <v>0</v>
      </c>
      <c r="T44">
        <v>1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182</v>
      </c>
      <c r="AB44">
        <v>167</v>
      </c>
      <c r="AC44">
        <v>871</v>
      </c>
      <c r="AD44">
        <v>628</v>
      </c>
      <c r="AE44">
        <v>162</v>
      </c>
      <c r="AF44">
        <v>26</v>
      </c>
      <c r="AG44">
        <v>19</v>
      </c>
      <c r="AH44">
        <v>17</v>
      </c>
      <c r="AI44">
        <v>17</v>
      </c>
      <c r="AJ44">
        <v>18</v>
      </c>
      <c r="AK44">
        <v>3</v>
      </c>
      <c r="AL44">
        <v>2</v>
      </c>
    </row>
    <row r="45" spans="1:38">
      <c r="B45" t="s">
        <v>15</v>
      </c>
      <c r="C45">
        <v>121</v>
      </c>
      <c r="D45">
        <v>103</v>
      </c>
      <c r="E45">
        <v>243</v>
      </c>
      <c r="F45">
        <v>36</v>
      </c>
      <c r="G45">
        <v>19</v>
      </c>
      <c r="H45">
        <v>11</v>
      </c>
      <c r="I45">
        <v>4</v>
      </c>
      <c r="J45">
        <v>3</v>
      </c>
      <c r="K45">
        <v>3</v>
      </c>
      <c r="L45">
        <v>2</v>
      </c>
      <c r="M45">
        <v>2</v>
      </c>
      <c r="N45">
        <v>2</v>
      </c>
      <c r="O45">
        <v>1</v>
      </c>
      <c r="P45">
        <v>1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122</v>
      </c>
      <c r="AB45">
        <v>104</v>
      </c>
      <c r="AC45">
        <v>243</v>
      </c>
      <c r="AD45">
        <v>36</v>
      </c>
      <c r="AE45">
        <v>19</v>
      </c>
      <c r="AF45">
        <v>11</v>
      </c>
      <c r="AG45">
        <v>4</v>
      </c>
      <c r="AH45">
        <v>3</v>
      </c>
      <c r="AI45">
        <v>3</v>
      </c>
      <c r="AJ45">
        <v>2</v>
      </c>
      <c r="AK45">
        <v>2</v>
      </c>
      <c r="AL45">
        <v>2</v>
      </c>
    </row>
    <row r="46" spans="1:38">
      <c r="B46" t="s">
        <v>16</v>
      </c>
      <c r="C46">
        <v>60</v>
      </c>
      <c r="D46">
        <v>48</v>
      </c>
      <c r="E46">
        <v>32</v>
      </c>
      <c r="F46">
        <v>8</v>
      </c>
      <c r="G46">
        <v>6</v>
      </c>
      <c r="H46">
        <v>4</v>
      </c>
      <c r="I46">
        <v>3</v>
      </c>
      <c r="J46">
        <v>3</v>
      </c>
      <c r="K46">
        <v>1</v>
      </c>
      <c r="L46">
        <v>1</v>
      </c>
      <c r="M46">
        <v>1</v>
      </c>
      <c r="N46">
        <v>1</v>
      </c>
      <c r="O46">
        <v>1</v>
      </c>
      <c r="P46">
        <v>1</v>
      </c>
      <c r="Q46">
        <v>1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61</v>
      </c>
      <c r="AB46">
        <v>49</v>
      </c>
      <c r="AC46">
        <v>33</v>
      </c>
      <c r="AD46">
        <v>8</v>
      </c>
      <c r="AE46">
        <v>6</v>
      </c>
      <c r="AF46">
        <v>4</v>
      </c>
      <c r="AG46">
        <v>3</v>
      </c>
      <c r="AH46">
        <v>3</v>
      </c>
      <c r="AI46">
        <v>1</v>
      </c>
      <c r="AJ46">
        <v>1</v>
      </c>
      <c r="AK46">
        <v>1</v>
      </c>
      <c r="AL46">
        <v>1</v>
      </c>
    </row>
    <row r="47" spans="1:38">
      <c r="B47" t="s">
        <v>17</v>
      </c>
      <c r="C47">
        <v>0</v>
      </c>
      <c r="D47">
        <v>0</v>
      </c>
      <c r="E47">
        <v>0</v>
      </c>
      <c r="F47">
        <v>1</v>
      </c>
      <c r="G47">
        <v>0</v>
      </c>
      <c r="H47">
        <v>0</v>
      </c>
      <c r="I47">
        <v>0</v>
      </c>
      <c r="J47">
        <v>1</v>
      </c>
      <c r="K47">
        <v>1</v>
      </c>
      <c r="L47">
        <v>1</v>
      </c>
      <c r="M47">
        <v>1</v>
      </c>
      <c r="N47">
        <v>1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1</v>
      </c>
      <c r="AE47">
        <v>0</v>
      </c>
      <c r="AF47">
        <v>0</v>
      </c>
      <c r="AG47">
        <v>0</v>
      </c>
      <c r="AH47">
        <v>1</v>
      </c>
      <c r="AI47">
        <v>1</v>
      </c>
      <c r="AJ47">
        <v>1</v>
      </c>
      <c r="AK47">
        <v>1</v>
      </c>
      <c r="AL47">
        <v>1</v>
      </c>
    </row>
    <row r="48" spans="1:38">
      <c r="A48" t="s">
        <v>80</v>
      </c>
      <c r="B48" t="s">
        <v>3</v>
      </c>
      <c r="C48">
        <v>1931561</v>
      </c>
      <c r="D48">
        <v>1997045</v>
      </c>
      <c r="E48">
        <v>2097895</v>
      </c>
      <c r="F48">
        <v>2236314</v>
      </c>
      <c r="G48">
        <v>2301951</v>
      </c>
      <c r="H48">
        <v>2323048</v>
      </c>
      <c r="I48">
        <v>2404291</v>
      </c>
      <c r="J48">
        <v>2470838</v>
      </c>
      <c r="K48">
        <v>2524006</v>
      </c>
      <c r="L48">
        <v>2573795</v>
      </c>
      <c r="M48">
        <v>2626330</v>
      </c>
      <c r="N48">
        <v>2677757</v>
      </c>
      <c r="O48">
        <v>415607</v>
      </c>
      <c r="P48">
        <v>420263</v>
      </c>
      <c r="Q48">
        <v>424974</v>
      </c>
      <c r="R48">
        <v>437323</v>
      </c>
      <c r="S48">
        <v>437568</v>
      </c>
      <c r="T48">
        <v>430035</v>
      </c>
      <c r="U48">
        <v>431100</v>
      </c>
      <c r="V48">
        <v>431762</v>
      </c>
      <c r="W48">
        <v>433827</v>
      </c>
      <c r="X48">
        <v>435840</v>
      </c>
      <c r="Y48">
        <v>439281</v>
      </c>
      <c r="Z48">
        <v>444617</v>
      </c>
      <c r="AA48">
        <v>2347168</v>
      </c>
      <c r="AB48">
        <v>2417308</v>
      </c>
      <c r="AC48">
        <v>2522869</v>
      </c>
      <c r="AD48">
        <v>2673637</v>
      </c>
      <c r="AE48">
        <v>2739519</v>
      </c>
      <c r="AF48">
        <v>2753083</v>
      </c>
      <c r="AG48">
        <v>2835391</v>
      </c>
      <c r="AH48">
        <v>2902600</v>
      </c>
      <c r="AI48">
        <v>2957833</v>
      </c>
      <c r="AJ48">
        <v>3009635</v>
      </c>
      <c r="AK48">
        <v>3065611</v>
      </c>
      <c r="AL48">
        <v>3122374</v>
      </c>
    </row>
    <row r="49" spans="1:38">
      <c r="B49" t="s">
        <v>5</v>
      </c>
      <c r="C49">
        <v>24243</v>
      </c>
      <c r="D49">
        <v>24886</v>
      </c>
      <c r="E49">
        <v>25827</v>
      </c>
      <c r="F49">
        <v>27870</v>
      </c>
      <c r="G49">
        <v>30715</v>
      </c>
      <c r="H49">
        <v>31633</v>
      </c>
      <c r="I49">
        <v>33416</v>
      </c>
      <c r="J49">
        <v>37357</v>
      </c>
      <c r="K49">
        <v>38930</v>
      </c>
      <c r="L49">
        <v>39934</v>
      </c>
      <c r="M49">
        <v>41607</v>
      </c>
      <c r="N49">
        <v>42617</v>
      </c>
      <c r="O49">
        <v>1201</v>
      </c>
      <c r="P49">
        <v>1278</v>
      </c>
      <c r="Q49">
        <v>1371</v>
      </c>
      <c r="R49">
        <v>1509</v>
      </c>
      <c r="S49">
        <v>1605</v>
      </c>
      <c r="T49">
        <v>1706</v>
      </c>
      <c r="U49">
        <v>1566</v>
      </c>
      <c r="V49">
        <v>1938</v>
      </c>
      <c r="W49">
        <v>1997</v>
      </c>
      <c r="X49">
        <v>2011</v>
      </c>
      <c r="Y49">
        <v>2065</v>
      </c>
      <c r="Z49">
        <v>2075</v>
      </c>
      <c r="AA49">
        <v>25444</v>
      </c>
      <c r="AB49">
        <v>26164</v>
      </c>
      <c r="AC49">
        <v>27198</v>
      </c>
      <c r="AD49">
        <v>29379</v>
      </c>
      <c r="AE49">
        <v>32320</v>
      </c>
      <c r="AF49">
        <v>33339</v>
      </c>
      <c r="AG49">
        <v>34982</v>
      </c>
      <c r="AH49">
        <v>39295</v>
      </c>
      <c r="AI49">
        <v>40927</v>
      </c>
      <c r="AJ49">
        <v>41945</v>
      </c>
      <c r="AK49">
        <v>43672</v>
      </c>
      <c r="AL49">
        <v>44692</v>
      </c>
    </row>
    <row r="50" spans="1:38">
      <c r="B50" t="s">
        <v>6</v>
      </c>
      <c r="C50">
        <v>1250496</v>
      </c>
      <c r="D50">
        <v>1218800</v>
      </c>
      <c r="E50">
        <v>1228073</v>
      </c>
      <c r="F50">
        <v>1302441</v>
      </c>
      <c r="G50">
        <v>1359257</v>
      </c>
      <c r="H50">
        <v>1384698</v>
      </c>
      <c r="I50">
        <v>1409138</v>
      </c>
      <c r="J50">
        <v>1441311</v>
      </c>
      <c r="K50">
        <v>1430475</v>
      </c>
      <c r="L50">
        <v>1420327</v>
      </c>
      <c r="M50">
        <v>1491293</v>
      </c>
      <c r="N50">
        <v>1487213</v>
      </c>
      <c r="O50">
        <v>397321</v>
      </c>
      <c r="P50">
        <v>399175</v>
      </c>
      <c r="Q50">
        <v>403310</v>
      </c>
      <c r="R50">
        <v>417141</v>
      </c>
      <c r="S50">
        <v>420553</v>
      </c>
      <c r="T50">
        <v>414494</v>
      </c>
      <c r="U50">
        <v>416897</v>
      </c>
      <c r="V50">
        <v>418662</v>
      </c>
      <c r="W50">
        <v>421203</v>
      </c>
      <c r="X50">
        <v>423483</v>
      </c>
      <c r="Y50">
        <v>428413</v>
      </c>
      <c r="Z50">
        <v>434175</v>
      </c>
      <c r="AA50">
        <v>1647817</v>
      </c>
      <c r="AB50">
        <v>1617975</v>
      </c>
      <c r="AC50">
        <v>1631383</v>
      </c>
      <c r="AD50">
        <v>1719582</v>
      </c>
      <c r="AE50">
        <v>1779810</v>
      </c>
      <c r="AF50">
        <v>1799192</v>
      </c>
      <c r="AG50">
        <v>1826035</v>
      </c>
      <c r="AH50">
        <v>1859973</v>
      </c>
      <c r="AI50">
        <v>1851678</v>
      </c>
      <c r="AJ50">
        <v>1843810</v>
      </c>
      <c r="AK50">
        <v>1919706</v>
      </c>
      <c r="AL50">
        <v>1921388</v>
      </c>
    </row>
    <row r="51" spans="1:38">
      <c r="B51" t="s">
        <v>7</v>
      </c>
      <c r="C51">
        <v>338017</v>
      </c>
      <c r="D51">
        <v>386920</v>
      </c>
      <c r="E51">
        <v>419327</v>
      </c>
      <c r="F51">
        <v>445338</v>
      </c>
      <c r="G51">
        <v>466013</v>
      </c>
      <c r="H51">
        <v>464427</v>
      </c>
      <c r="I51">
        <v>498243</v>
      </c>
      <c r="J51">
        <v>527031</v>
      </c>
      <c r="K51">
        <v>571337</v>
      </c>
      <c r="L51">
        <v>603701</v>
      </c>
      <c r="M51">
        <v>609029</v>
      </c>
      <c r="N51">
        <v>644023</v>
      </c>
      <c r="O51">
        <v>13248</v>
      </c>
      <c r="P51">
        <v>15209</v>
      </c>
      <c r="Q51">
        <v>15622</v>
      </c>
      <c r="R51">
        <v>14671</v>
      </c>
      <c r="S51">
        <v>12498</v>
      </c>
      <c r="T51">
        <v>11421</v>
      </c>
      <c r="U51">
        <v>10569</v>
      </c>
      <c r="V51">
        <v>9460</v>
      </c>
      <c r="W51">
        <v>8995</v>
      </c>
      <c r="X51">
        <v>8751</v>
      </c>
      <c r="Y51">
        <v>7558</v>
      </c>
      <c r="Z51">
        <v>7229</v>
      </c>
      <c r="AA51">
        <v>351265</v>
      </c>
      <c r="AB51">
        <v>402129</v>
      </c>
      <c r="AC51">
        <v>434949</v>
      </c>
      <c r="AD51">
        <v>460009</v>
      </c>
      <c r="AE51">
        <v>478511</v>
      </c>
      <c r="AF51">
        <v>475848</v>
      </c>
      <c r="AG51">
        <v>508812</v>
      </c>
      <c r="AH51">
        <v>536491</v>
      </c>
      <c r="AI51">
        <v>580332</v>
      </c>
      <c r="AJ51">
        <v>612452</v>
      </c>
      <c r="AK51">
        <v>616587</v>
      </c>
      <c r="AL51">
        <v>651252</v>
      </c>
    </row>
    <row r="52" spans="1:38">
      <c r="B52" t="s">
        <v>8</v>
      </c>
      <c r="C52">
        <v>136841</v>
      </c>
      <c r="D52">
        <v>154052</v>
      </c>
      <c r="E52">
        <v>176540</v>
      </c>
      <c r="F52">
        <v>193536</v>
      </c>
      <c r="G52">
        <v>193874</v>
      </c>
      <c r="H52">
        <v>196408</v>
      </c>
      <c r="I52">
        <v>209139</v>
      </c>
      <c r="J52">
        <v>217099</v>
      </c>
      <c r="K52">
        <v>227587</v>
      </c>
      <c r="L52">
        <v>240972</v>
      </c>
      <c r="M52">
        <v>240192</v>
      </c>
      <c r="N52">
        <v>253149</v>
      </c>
      <c r="O52">
        <v>2739</v>
      </c>
      <c r="P52">
        <v>3280</v>
      </c>
      <c r="Q52">
        <v>3328</v>
      </c>
      <c r="R52">
        <v>2907</v>
      </c>
      <c r="S52">
        <v>2156</v>
      </c>
      <c r="T52">
        <v>1788</v>
      </c>
      <c r="U52">
        <v>1540</v>
      </c>
      <c r="V52">
        <v>1263</v>
      </c>
      <c r="W52">
        <v>1205</v>
      </c>
      <c r="X52">
        <v>1156</v>
      </c>
      <c r="Y52">
        <v>912</v>
      </c>
      <c r="Z52">
        <v>833</v>
      </c>
      <c r="AA52">
        <v>139580</v>
      </c>
      <c r="AB52">
        <v>157332</v>
      </c>
      <c r="AC52">
        <v>179868</v>
      </c>
      <c r="AD52">
        <v>196443</v>
      </c>
      <c r="AE52">
        <v>196030</v>
      </c>
      <c r="AF52">
        <v>198196</v>
      </c>
      <c r="AG52">
        <v>210679</v>
      </c>
      <c r="AH52">
        <v>218362</v>
      </c>
      <c r="AI52">
        <v>228792</v>
      </c>
      <c r="AJ52">
        <v>242128</v>
      </c>
      <c r="AK52">
        <v>241104</v>
      </c>
      <c r="AL52">
        <v>253982</v>
      </c>
    </row>
    <row r="53" spans="1:38">
      <c r="B53" t="s">
        <v>9</v>
      </c>
      <c r="C53">
        <v>70011</v>
      </c>
      <c r="D53">
        <v>79196</v>
      </c>
      <c r="E53">
        <v>91678</v>
      </c>
      <c r="F53">
        <v>102713</v>
      </c>
      <c r="G53">
        <v>105635</v>
      </c>
      <c r="H53">
        <v>106747</v>
      </c>
      <c r="I53">
        <v>113121</v>
      </c>
      <c r="J53">
        <v>114615</v>
      </c>
      <c r="K53">
        <v>119576</v>
      </c>
      <c r="L53">
        <v>126113</v>
      </c>
      <c r="M53">
        <v>121681</v>
      </c>
      <c r="N53">
        <v>128671</v>
      </c>
      <c r="O53">
        <v>636</v>
      </c>
      <c r="P53">
        <v>804</v>
      </c>
      <c r="Q53">
        <v>839</v>
      </c>
      <c r="R53">
        <v>687</v>
      </c>
      <c r="S53">
        <v>482</v>
      </c>
      <c r="T53">
        <v>415</v>
      </c>
      <c r="U53">
        <v>361</v>
      </c>
      <c r="V53">
        <v>307</v>
      </c>
      <c r="W53">
        <v>287</v>
      </c>
      <c r="X53">
        <v>283</v>
      </c>
      <c r="Y53">
        <v>234</v>
      </c>
      <c r="Z53">
        <v>225</v>
      </c>
      <c r="AA53">
        <v>70647</v>
      </c>
      <c r="AB53">
        <v>80000</v>
      </c>
      <c r="AC53">
        <v>92517</v>
      </c>
      <c r="AD53">
        <v>103400</v>
      </c>
      <c r="AE53">
        <v>106117</v>
      </c>
      <c r="AF53">
        <v>107162</v>
      </c>
      <c r="AG53">
        <v>113482</v>
      </c>
      <c r="AH53">
        <v>114922</v>
      </c>
      <c r="AI53">
        <v>119863</v>
      </c>
      <c r="AJ53">
        <v>126396</v>
      </c>
      <c r="AK53">
        <v>121915</v>
      </c>
      <c r="AL53">
        <v>128896</v>
      </c>
    </row>
    <row r="54" spans="1:38">
      <c r="B54" t="s">
        <v>10</v>
      </c>
      <c r="C54">
        <v>44348</v>
      </c>
      <c r="D54">
        <v>50720</v>
      </c>
      <c r="E54">
        <v>58880</v>
      </c>
      <c r="F54">
        <v>63888</v>
      </c>
      <c r="G54">
        <v>61450</v>
      </c>
      <c r="H54">
        <v>64512</v>
      </c>
      <c r="I54">
        <v>71325</v>
      </c>
      <c r="J54">
        <v>77242</v>
      </c>
      <c r="K54">
        <v>80242</v>
      </c>
      <c r="L54">
        <v>82021</v>
      </c>
      <c r="M54">
        <v>83818</v>
      </c>
      <c r="N54">
        <v>89478</v>
      </c>
      <c r="O54">
        <v>255</v>
      </c>
      <c r="P54">
        <v>280</v>
      </c>
      <c r="Q54">
        <v>280</v>
      </c>
      <c r="R54">
        <v>245</v>
      </c>
      <c r="S54">
        <v>183</v>
      </c>
      <c r="T54">
        <v>157</v>
      </c>
      <c r="U54">
        <v>130</v>
      </c>
      <c r="V54">
        <v>119</v>
      </c>
      <c r="W54">
        <v>117</v>
      </c>
      <c r="X54">
        <v>121</v>
      </c>
      <c r="Y54">
        <v>81</v>
      </c>
      <c r="Z54">
        <v>68</v>
      </c>
      <c r="AA54">
        <v>44603</v>
      </c>
      <c r="AB54">
        <v>51000</v>
      </c>
      <c r="AC54">
        <v>59160</v>
      </c>
      <c r="AD54">
        <v>64133</v>
      </c>
      <c r="AE54">
        <v>61633</v>
      </c>
      <c r="AF54">
        <v>64669</v>
      </c>
      <c r="AG54">
        <v>71455</v>
      </c>
      <c r="AH54">
        <v>77361</v>
      </c>
      <c r="AI54">
        <v>80359</v>
      </c>
      <c r="AJ54">
        <v>82142</v>
      </c>
      <c r="AK54">
        <v>83899</v>
      </c>
      <c r="AL54">
        <v>89546</v>
      </c>
    </row>
    <row r="55" spans="1:38">
      <c r="B55" t="s">
        <v>11</v>
      </c>
      <c r="C55">
        <v>28983</v>
      </c>
      <c r="D55">
        <v>33571</v>
      </c>
      <c r="E55">
        <v>37825</v>
      </c>
      <c r="F55">
        <v>47728</v>
      </c>
      <c r="G55">
        <v>52545</v>
      </c>
      <c r="H55">
        <v>57968</v>
      </c>
      <c r="I55">
        <v>55601</v>
      </c>
      <c r="J55">
        <v>50248</v>
      </c>
      <c r="K55">
        <v>51421</v>
      </c>
      <c r="L55">
        <v>55614</v>
      </c>
      <c r="M55">
        <v>36147</v>
      </c>
      <c r="N55">
        <v>31073</v>
      </c>
      <c r="O55">
        <v>103</v>
      </c>
      <c r="P55">
        <v>130</v>
      </c>
      <c r="Q55">
        <v>133</v>
      </c>
      <c r="R55">
        <v>119</v>
      </c>
      <c r="S55">
        <v>78</v>
      </c>
      <c r="T55">
        <v>53</v>
      </c>
      <c r="U55">
        <v>37</v>
      </c>
      <c r="V55">
        <v>13</v>
      </c>
      <c r="W55">
        <v>16</v>
      </c>
      <c r="X55">
        <v>24</v>
      </c>
      <c r="Y55">
        <v>15</v>
      </c>
      <c r="Z55">
        <v>12</v>
      </c>
      <c r="AA55">
        <v>29086</v>
      </c>
      <c r="AB55">
        <v>33701</v>
      </c>
      <c r="AC55">
        <v>37958</v>
      </c>
      <c r="AD55">
        <v>47847</v>
      </c>
      <c r="AE55">
        <v>52623</v>
      </c>
      <c r="AF55">
        <v>58021</v>
      </c>
      <c r="AG55">
        <v>55638</v>
      </c>
      <c r="AH55">
        <v>50261</v>
      </c>
      <c r="AI55">
        <v>51437</v>
      </c>
      <c r="AJ55">
        <v>55638</v>
      </c>
      <c r="AK55">
        <v>36162</v>
      </c>
      <c r="AL55">
        <v>31085</v>
      </c>
    </row>
    <row r="56" spans="1:38">
      <c r="B56" t="s">
        <v>12</v>
      </c>
      <c r="C56">
        <v>25562</v>
      </c>
      <c r="D56">
        <v>29225</v>
      </c>
      <c r="E56">
        <v>36327</v>
      </c>
      <c r="F56">
        <v>41377</v>
      </c>
      <c r="G56">
        <v>30516</v>
      </c>
      <c r="H56">
        <v>15464</v>
      </c>
      <c r="I56">
        <v>12991</v>
      </c>
      <c r="J56">
        <v>5787</v>
      </c>
      <c r="K56">
        <v>4317</v>
      </c>
      <c r="L56">
        <v>5002</v>
      </c>
      <c r="M56">
        <v>2478</v>
      </c>
      <c r="N56">
        <v>1458</v>
      </c>
      <c r="O56">
        <v>84</v>
      </c>
      <c r="P56">
        <v>87</v>
      </c>
      <c r="Q56">
        <v>74</v>
      </c>
      <c r="R56">
        <v>42</v>
      </c>
      <c r="S56">
        <v>13</v>
      </c>
      <c r="T56">
        <v>1</v>
      </c>
      <c r="U56">
        <v>0</v>
      </c>
      <c r="V56">
        <v>0</v>
      </c>
      <c r="W56">
        <v>7</v>
      </c>
      <c r="X56">
        <v>11</v>
      </c>
      <c r="Y56">
        <v>3</v>
      </c>
      <c r="Z56">
        <v>0</v>
      </c>
      <c r="AA56">
        <v>25646</v>
      </c>
      <c r="AB56">
        <v>29312</v>
      </c>
      <c r="AC56">
        <v>36401</v>
      </c>
      <c r="AD56">
        <v>41419</v>
      </c>
      <c r="AE56">
        <v>30529</v>
      </c>
      <c r="AF56">
        <v>15465</v>
      </c>
      <c r="AG56">
        <v>12991</v>
      </c>
      <c r="AH56">
        <v>5787</v>
      </c>
      <c r="AI56">
        <v>4324</v>
      </c>
      <c r="AJ56">
        <v>5013</v>
      </c>
      <c r="AK56">
        <v>2481</v>
      </c>
      <c r="AL56">
        <v>1458</v>
      </c>
    </row>
    <row r="57" spans="1:38">
      <c r="B57" t="s">
        <v>13</v>
      </c>
      <c r="C57">
        <v>12401</v>
      </c>
      <c r="D57">
        <v>19102</v>
      </c>
      <c r="E57">
        <v>21170</v>
      </c>
      <c r="F57">
        <v>10743</v>
      </c>
      <c r="G57">
        <v>1631</v>
      </c>
      <c r="H57">
        <v>1055</v>
      </c>
      <c r="I57">
        <v>1207</v>
      </c>
      <c r="J57">
        <v>66</v>
      </c>
      <c r="K57">
        <v>50</v>
      </c>
      <c r="L57">
        <v>39</v>
      </c>
      <c r="M57">
        <v>36</v>
      </c>
      <c r="N57">
        <v>41</v>
      </c>
      <c r="O57">
        <v>20</v>
      </c>
      <c r="P57">
        <v>20</v>
      </c>
      <c r="Q57">
        <v>17</v>
      </c>
      <c r="R57">
        <v>2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12421</v>
      </c>
      <c r="AB57">
        <v>19122</v>
      </c>
      <c r="AC57">
        <v>21187</v>
      </c>
      <c r="AD57">
        <v>10745</v>
      </c>
      <c r="AE57">
        <v>1631</v>
      </c>
      <c r="AF57">
        <v>1055</v>
      </c>
      <c r="AG57">
        <v>1207</v>
      </c>
      <c r="AH57">
        <v>66</v>
      </c>
      <c r="AI57">
        <v>50</v>
      </c>
      <c r="AJ57">
        <v>39</v>
      </c>
      <c r="AK57">
        <v>36</v>
      </c>
      <c r="AL57">
        <v>41</v>
      </c>
    </row>
    <row r="58" spans="1:38">
      <c r="B58" t="s">
        <v>14</v>
      </c>
      <c r="C58">
        <v>298</v>
      </c>
      <c r="D58">
        <v>255</v>
      </c>
      <c r="E58">
        <v>1897</v>
      </c>
      <c r="F58">
        <v>509</v>
      </c>
      <c r="G58">
        <v>215</v>
      </c>
      <c r="H58">
        <v>56</v>
      </c>
      <c r="I58">
        <v>62</v>
      </c>
      <c r="J58">
        <v>45</v>
      </c>
      <c r="K58">
        <v>38</v>
      </c>
      <c r="L58">
        <v>38</v>
      </c>
      <c r="M58">
        <v>23</v>
      </c>
      <c r="N58">
        <v>14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298</v>
      </c>
      <c r="AB58">
        <v>255</v>
      </c>
      <c r="AC58">
        <v>1897</v>
      </c>
      <c r="AD58">
        <v>509</v>
      </c>
      <c r="AE58">
        <v>215</v>
      </c>
      <c r="AF58">
        <v>56</v>
      </c>
      <c r="AG58">
        <v>62</v>
      </c>
      <c r="AH58">
        <v>45</v>
      </c>
      <c r="AI58">
        <v>38</v>
      </c>
      <c r="AJ58">
        <v>38</v>
      </c>
      <c r="AK58">
        <v>23</v>
      </c>
      <c r="AL58">
        <v>14</v>
      </c>
    </row>
    <row r="59" spans="1:38">
      <c r="B59" t="s">
        <v>15</v>
      </c>
      <c r="C59">
        <v>146</v>
      </c>
      <c r="D59">
        <v>134</v>
      </c>
      <c r="E59">
        <v>197</v>
      </c>
      <c r="F59">
        <v>81</v>
      </c>
      <c r="G59">
        <v>40</v>
      </c>
      <c r="H59">
        <v>41</v>
      </c>
      <c r="I59">
        <v>17</v>
      </c>
      <c r="J59">
        <v>11</v>
      </c>
      <c r="K59">
        <v>11</v>
      </c>
      <c r="L59">
        <v>12</v>
      </c>
      <c r="M59">
        <v>7</v>
      </c>
      <c r="N59">
        <v>4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146</v>
      </c>
      <c r="AB59">
        <v>134</v>
      </c>
      <c r="AC59">
        <v>197</v>
      </c>
      <c r="AD59">
        <v>81</v>
      </c>
      <c r="AE59">
        <v>40</v>
      </c>
      <c r="AF59">
        <v>41</v>
      </c>
      <c r="AG59">
        <v>17</v>
      </c>
      <c r="AH59">
        <v>11</v>
      </c>
      <c r="AI59">
        <v>11</v>
      </c>
      <c r="AJ59">
        <v>12</v>
      </c>
      <c r="AK59">
        <v>7</v>
      </c>
      <c r="AL59">
        <v>4</v>
      </c>
    </row>
    <row r="60" spans="1:38">
      <c r="B60" t="s">
        <v>16</v>
      </c>
      <c r="C60">
        <v>195</v>
      </c>
      <c r="D60">
        <v>170</v>
      </c>
      <c r="E60">
        <v>141</v>
      </c>
      <c r="F60">
        <v>82</v>
      </c>
      <c r="G60">
        <v>55</v>
      </c>
      <c r="H60">
        <v>34</v>
      </c>
      <c r="I60">
        <v>28</v>
      </c>
      <c r="J60">
        <v>24</v>
      </c>
      <c r="K60">
        <v>21</v>
      </c>
      <c r="L60">
        <v>21</v>
      </c>
      <c r="M60">
        <v>19</v>
      </c>
      <c r="N60">
        <v>16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195</v>
      </c>
      <c r="AB60">
        <v>170</v>
      </c>
      <c r="AC60">
        <v>141</v>
      </c>
      <c r="AD60">
        <v>82</v>
      </c>
      <c r="AE60">
        <v>55</v>
      </c>
      <c r="AF60">
        <v>34</v>
      </c>
      <c r="AG60">
        <v>28</v>
      </c>
      <c r="AH60">
        <v>24</v>
      </c>
      <c r="AI60">
        <v>21</v>
      </c>
      <c r="AJ60">
        <v>21</v>
      </c>
      <c r="AK60">
        <v>19</v>
      </c>
      <c r="AL60">
        <v>16</v>
      </c>
    </row>
    <row r="61" spans="1:38">
      <c r="B61" t="s">
        <v>17</v>
      </c>
      <c r="C61">
        <v>20</v>
      </c>
      <c r="D61">
        <v>14</v>
      </c>
      <c r="E61">
        <v>13</v>
      </c>
      <c r="F61">
        <v>8</v>
      </c>
      <c r="G61">
        <v>5</v>
      </c>
      <c r="H61">
        <v>5</v>
      </c>
      <c r="I61">
        <v>3</v>
      </c>
      <c r="J61">
        <v>2</v>
      </c>
      <c r="K61">
        <v>1</v>
      </c>
      <c r="L61">
        <v>1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20</v>
      </c>
      <c r="AB61">
        <v>14</v>
      </c>
      <c r="AC61">
        <v>13</v>
      </c>
      <c r="AD61">
        <v>8</v>
      </c>
      <c r="AE61">
        <v>5</v>
      </c>
      <c r="AF61">
        <v>5</v>
      </c>
      <c r="AG61">
        <v>3</v>
      </c>
      <c r="AH61">
        <v>2</v>
      </c>
      <c r="AI61">
        <v>1</v>
      </c>
      <c r="AJ61">
        <v>1</v>
      </c>
      <c r="AK61">
        <v>0</v>
      </c>
      <c r="AL61">
        <v>0</v>
      </c>
    </row>
    <row r="62" spans="1:38">
      <c r="A62" t="s">
        <v>81</v>
      </c>
      <c r="B62" t="s">
        <v>3</v>
      </c>
      <c r="C62">
        <v>3659423</v>
      </c>
      <c r="D62">
        <v>3729187</v>
      </c>
      <c r="E62">
        <v>3876443</v>
      </c>
      <c r="F62">
        <v>3945135</v>
      </c>
      <c r="G62">
        <v>4037292</v>
      </c>
      <c r="H62">
        <v>4153638</v>
      </c>
      <c r="I62">
        <v>4278743</v>
      </c>
      <c r="J62">
        <v>4405871</v>
      </c>
      <c r="K62">
        <v>4527306</v>
      </c>
      <c r="L62">
        <v>4644170</v>
      </c>
      <c r="M62">
        <v>4771312</v>
      </c>
      <c r="N62">
        <v>4901267</v>
      </c>
      <c r="O62">
        <v>1696171</v>
      </c>
      <c r="P62">
        <v>1742040</v>
      </c>
      <c r="Q62">
        <v>1791262</v>
      </c>
      <c r="R62">
        <v>1838109</v>
      </c>
      <c r="S62">
        <v>1883300</v>
      </c>
      <c r="T62">
        <v>1936772</v>
      </c>
      <c r="U62">
        <v>1995933</v>
      </c>
      <c r="V62">
        <v>2051975</v>
      </c>
      <c r="W62">
        <v>2103758</v>
      </c>
      <c r="X62">
        <v>2153034</v>
      </c>
      <c r="Y62">
        <v>2204951</v>
      </c>
      <c r="Z62">
        <v>2257975</v>
      </c>
      <c r="AA62">
        <v>5355594</v>
      </c>
      <c r="AB62">
        <v>5471227</v>
      </c>
      <c r="AC62">
        <v>5667705</v>
      </c>
      <c r="AD62">
        <v>5783244</v>
      </c>
      <c r="AE62">
        <v>5920592</v>
      </c>
      <c r="AF62">
        <v>6090410</v>
      </c>
      <c r="AG62">
        <v>6274676</v>
      </c>
      <c r="AH62">
        <v>6457846</v>
      </c>
      <c r="AI62">
        <v>6631064</v>
      </c>
      <c r="AJ62">
        <v>6797204</v>
      </c>
      <c r="AK62">
        <v>6976263</v>
      </c>
      <c r="AL62">
        <v>7159242</v>
      </c>
    </row>
    <row r="63" spans="1:38">
      <c r="B63" t="s">
        <v>5</v>
      </c>
      <c r="C63">
        <v>118788</v>
      </c>
      <c r="D63">
        <v>117711</v>
      </c>
      <c r="E63">
        <v>123537</v>
      </c>
      <c r="F63">
        <v>131681</v>
      </c>
      <c r="G63">
        <v>144628</v>
      </c>
      <c r="H63">
        <v>155333</v>
      </c>
      <c r="I63">
        <v>166214</v>
      </c>
      <c r="J63">
        <v>179742</v>
      </c>
      <c r="K63">
        <v>188508</v>
      </c>
      <c r="L63">
        <v>196824</v>
      </c>
      <c r="M63">
        <v>215248</v>
      </c>
      <c r="N63">
        <v>228279</v>
      </c>
      <c r="O63">
        <v>13485</v>
      </c>
      <c r="P63">
        <v>15131</v>
      </c>
      <c r="Q63">
        <v>17081</v>
      </c>
      <c r="R63">
        <v>18950</v>
      </c>
      <c r="S63">
        <v>21318</v>
      </c>
      <c r="T63">
        <v>23632</v>
      </c>
      <c r="U63">
        <v>25849</v>
      </c>
      <c r="V63">
        <v>28666</v>
      </c>
      <c r="W63">
        <v>31216</v>
      </c>
      <c r="X63">
        <v>33681</v>
      </c>
      <c r="Y63">
        <v>36414</v>
      </c>
      <c r="Z63">
        <v>39457</v>
      </c>
      <c r="AA63">
        <v>132273</v>
      </c>
      <c r="AB63">
        <v>132842</v>
      </c>
      <c r="AC63">
        <v>140618</v>
      </c>
      <c r="AD63">
        <v>150631</v>
      </c>
      <c r="AE63">
        <v>165946</v>
      </c>
      <c r="AF63">
        <v>178965</v>
      </c>
      <c r="AG63">
        <v>192063</v>
      </c>
      <c r="AH63">
        <v>208408</v>
      </c>
      <c r="AI63">
        <v>219724</v>
      </c>
      <c r="AJ63">
        <v>230505</v>
      </c>
      <c r="AK63">
        <v>251662</v>
      </c>
      <c r="AL63">
        <v>267736</v>
      </c>
    </row>
    <row r="64" spans="1:38">
      <c r="B64" t="s">
        <v>6</v>
      </c>
      <c r="C64">
        <v>1983262</v>
      </c>
      <c r="D64">
        <v>1968557</v>
      </c>
      <c r="E64">
        <v>1990255</v>
      </c>
      <c r="F64">
        <v>2080775</v>
      </c>
      <c r="G64">
        <v>2163460</v>
      </c>
      <c r="H64">
        <v>2237816</v>
      </c>
      <c r="I64">
        <v>2287370</v>
      </c>
      <c r="J64">
        <v>2356328</v>
      </c>
      <c r="K64">
        <v>2355493</v>
      </c>
      <c r="L64">
        <v>2354856</v>
      </c>
      <c r="M64">
        <v>2486729</v>
      </c>
      <c r="N64">
        <v>2507514</v>
      </c>
      <c r="O64">
        <v>1655473</v>
      </c>
      <c r="P64">
        <v>1696429</v>
      </c>
      <c r="Q64">
        <v>1743352</v>
      </c>
      <c r="R64">
        <v>1793071</v>
      </c>
      <c r="S64">
        <v>1839229</v>
      </c>
      <c r="T64">
        <v>1891938</v>
      </c>
      <c r="U64">
        <v>1949170</v>
      </c>
      <c r="V64">
        <v>2003350</v>
      </c>
      <c r="W64">
        <v>2051384</v>
      </c>
      <c r="X64">
        <v>2097586</v>
      </c>
      <c r="Y64">
        <v>2149745</v>
      </c>
      <c r="Z64">
        <v>2199394</v>
      </c>
      <c r="AA64">
        <v>3638735</v>
      </c>
      <c r="AB64">
        <v>3664986</v>
      </c>
      <c r="AC64">
        <v>3733607</v>
      </c>
      <c r="AD64">
        <v>3873846</v>
      </c>
      <c r="AE64">
        <v>4002689</v>
      </c>
      <c r="AF64">
        <v>4129754</v>
      </c>
      <c r="AG64">
        <v>4236540</v>
      </c>
      <c r="AH64">
        <v>4359678</v>
      </c>
      <c r="AI64">
        <v>4406877</v>
      </c>
      <c r="AJ64">
        <v>4452442</v>
      </c>
      <c r="AK64">
        <v>4636474</v>
      </c>
      <c r="AL64">
        <v>4706908</v>
      </c>
    </row>
    <row r="65" spans="1:38">
      <c r="B65" t="s">
        <v>7</v>
      </c>
      <c r="C65">
        <v>683154</v>
      </c>
      <c r="D65">
        <v>725946</v>
      </c>
      <c r="E65">
        <v>774615</v>
      </c>
      <c r="F65">
        <v>780481</v>
      </c>
      <c r="G65">
        <v>823863</v>
      </c>
      <c r="H65">
        <v>848242</v>
      </c>
      <c r="I65">
        <v>895753</v>
      </c>
      <c r="J65">
        <v>941801</v>
      </c>
      <c r="K65">
        <v>1018096</v>
      </c>
      <c r="L65">
        <v>1073245</v>
      </c>
      <c r="M65">
        <v>1094048</v>
      </c>
      <c r="N65">
        <v>1158989</v>
      </c>
      <c r="O65">
        <v>20249</v>
      </c>
      <c r="P65">
        <v>23076</v>
      </c>
      <c r="Q65">
        <v>23351</v>
      </c>
      <c r="R65">
        <v>19481</v>
      </c>
      <c r="S65">
        <v>17364</v>
      </c>
      <c r="T65">
        <v>16188</v>
      </c>
      <c r="U65">
        <v>16191</v>
      </c>
      <c r="V65">
        <v>15712</v>
      </c>
      <c r="W65">
        <v>16887</v>
      </c>
      <c r="X65">
        <v>17442</v>
      </c>
      <c r="Y65">
        <v>15132</v>
      </c>
      <c r="Z65">
        <v>15647</v>
      </c>
      <c r="AA65">
        <v>703403</v>
      </c>
      <c r="AB65">
        <v>749022</v>
      </c>
      <c r="AC65">
        <v>797966</v>
      </c>
      <c r="AD65">
        <v>799962</v>
      </c>
      <c r="AE65">
        <v>841227</v>
      </c>
      <c r="AF65">
        <v>864430</v>
      </c>
      <c r="AG65">
        <v>911944</v>
      </c>
      <c r="AH65">
        <v>957513</v>
      </c>
      <c r="AI65">
        <v>1034983</v>
      </c>
      <c r="AJ65">
        <v>1090687</v>
      </c>
      <c r="AK65">
        <v>1109180</v>
      </c>
      <c r="AL65">
        <v>1174636</v>
      </c>
    </row>
    <row r="66" spans="1:38">
      <c r="B66" t="s">
        <v>8</v>
      </c>
      <c r="C66">
        <v>345675</v>
      </c>
      <c r="D66">
        <v>360336</v>
      </c>
      <c r="E66">
        <v>393674</v>
      </c>
      <c r="F66">
        <v>393459</v>
      </c>
      <c r="G66">
        <v>399061</v>
      </c>
      <c r="H66">
        <v>414137</v>
      </c>
      <c r="I66">
        <v>432384</v>
      </c>
      <c r="J66">
        <v>448053</v>
      </c>
      <c r="K66">
        <v>469405</v>
      </c>
      <c r="L66">
        <v>495252</v>
      </c>
      <c r="M66">
        <v>507678</v>
      </c>
      <c r="N66">
        <v>534883</v>
      </c>
      <c r="O66">
        <v>4367</v>
      </c>
      <c r="P66">
        <v>4652</v>
      </c>
      <c r="Q66">
        <v>4766</v>
      </c>
      <c r="R66">
        <v>4301</v>
      </c>
      <c r="S66">
        <v>3628</v>
      </c>
      <c r="T66">
        <v>3450</v>
      </c>
      <c r="U66">
        <v>3272</v>
      </c>
      <c r="V66">
        <v>2989</v>
      </c>
      <c r="W66">
        <v>2959</v>
      </c>
      <c r="X66">
        <v>2997</v>
      </c>
      <c r="Y66">
        <v>2616</v>
      </c>
      <c r="Z66">
        <v>2497</v>
      </c>
      <c r="AA66">
        <v>350042</v>
      </c>
      <c r="AB66">
        <v>364988</v>
      </c>
      <c r="AC66">
        <v>398440</v>
      </c>
      <c r="AD66">
        <v>397760</v>
      </c>
      <c r="AE66">
        <v>402689</v>
      </c>
      <c r="AF66">
        <v>417587</v>
      </c>
      <c r="AG66">
        <v>435656</v>
      </c>
      <c r="AH66">
        <v>451042</v>
      </c>
      <c r="AI66">
        <v>472364</v>
      </c>
      <c r="AJ66">
        <v>498249</v>
      </c>
      <c r="AK66">
        <v>510294</v>
      </c>
      <c r="AL66">
        <v>537380</v>
      </c>
    </row>
    <row r="67" spans="1:38">
      <c r="B67" t="s">
        <v>9</v>
      </c>
      <c r="C67">
        <v>206245</v>
      </c>
      <c r="D67">
        <v>217623</v>
      </c>
      <c r="E67">
        <v>237405</v>
      </c>
      <c r="F67">
        <v>233938</v>
      </c>
      <c r="G67">
        <v>235172</v>
      </c>
      <c r="H67">
        <v>242081</v>
      </c>
      <c r="I67">
        <v>249320</v>
      </c>
      <c r="J67">
        <v>255871</v>
      </c>
      <c r="K67">
        <v>268435</v>
      </c>
      <c r="L67">
        <v>284631</v>
      </c>
      <c r="M67">
        <v>272194</v>
      </c>
      <c r="N67">
        <v>282477</v>
      </c>
      <c r="O67">
        <v>1543</v>
      </c>
      <c r="P67">
        <v>1644</v>
      </c>
      <c r="Q67">
        <v>1622</v>
      </c>
      <c r="R67">
        <v>1435</v>
      </c>
      <c r="S67">
        <v>1120</v>
      </c>
      <c r="T67">
        <v>993</v>
      </c>
      <c r="U67">
        <v>929</v>
      </c>
      <c r="V67">
        <v>798</v>
      </c>
      <c r="W67">
        <v>835</v>
      </c>
      <c r="X67">
        <v>838</v>
      </c>
      <c r="Y67">
        <v>753</v>
      </c>
      <c r="Z67">
        <v>723</v>
      </c>
      <c r="AA67">
        <v>207788</v>
      </c>
      <c r="AB67">
        <v>219267</v>
      </c>
      <c r="AC67">
        <v>239027</v>
      </c>
      <c r="AD67">
        <v>235373</v>
      </c>
      <c r="AE67">
        <v>236292</v>
      </c>
      <c r="AF67">
        <v>243074</v>
      </c>
      <c r="AG67">
        <v>250249</v>
      </c>
      <c r="AH67">
        <v>256669</v>
      </c>
      <c r="AI67">
        <v>269270</v>
      </c>
      <c r="AJ67">
        <v>285469</v>
      </c>
      <c r="AK67">
        <v>272947</v>
      </c>
      <c r="AL67">
        <v>283200</v>
      </c>
    </row>
    <row r="68" spans="1:38">
      <c r="B68" t="s">
        <v>10</v>
      </c>
      <c r="C68">
        <v>138263</v>
      </c>
      <c r="D68">
        <v>141939</v>
      </c>
      <c r="E68">
        <v>151802</v>
      </c>
      <c r="F68">
        <v>149404</v>
      </c>
      <c r="G68">
        <v>138554</v>
      </c>
      <c r="H68">
        <v>142827</v>
      </c>
      <c r="I68">
        <v>146631</v>
      </c>
      <c r="J68">
        <v>162646</v>
      </c>
      <c r="K68">
        <v>165541</v>
      </c>
      <c r="L68">
        <v>167819</v>
      </c>
      <c r="M68">
        <v>147718</v>
      </c>
      <c r="N68">
        <v>144876</v>
      </c>
      <c r="O68">
        <v>596</v>
      </c>
      <c r="P68">
        <v>621</v>
      </c>
      <c r="Q68">
        <v>619</v>
      </c>
      <c r="R68">
        <v>505</v>
      </c>
      <c r="S68">
        <v>402</v>
      </c>
      <c r="T68">
        <v>404</v>
      </c>
      <c r="U68">
        <v>383</v>
      </c>
      <c r="V68">
        <v>405</v>
      </c>
      <c r="W68">
        <v>427</v>
      </c>
      <c r="X68">
        <v>431</v>
      </c>
      <c r="Y68">
        <v>259</v>
      </c>
      <c r="Z68">
        <v>231</v>
      </c>
      <c r="AA68">
        <v>138859</v>
      </c>
      <c r="AB68">
        <v>142560</v>
      </c>
      <c r="AC68">
        <v>152421</v>
      </c>
      <c r="AD68">
        <v>149909</v>
      </c>
      <c r="AE68">
        <v>138956</v>
      </c>
      <c r="AF68">
        <v>143231</v>
      </c>
      <c r="AG68">
        <v>147014</v>
      </c>
      <c r="AH68">
        <v>163051</v>
      </c>
      <c r="AI68">
        <v>165968</v>
      </c>
      <c r="AJ68">
        <v>168250</v>
      </c>
      <c r="AK68">
        <v>147977</v>
      </c>
      <c r="AL68">
        <v>145107</v>
      </c>
    </row>
    <row r="69" spans="1:38">
      <c r="B69" t="s">
        <v>11</v>
      </c>
      <c r="C69">
        <v>86457</v>
      </c>
      <c r="D69">
        <v>92809</v>
      </c>
      <c r="E69">
        <v>96335</v>
      </c>
      <c r="F69">
        <v>97270</v>
      </c>
      <c r="G69">
        <v>96561</v>
      </c>
      <c r="H69">
        <v>90333</v>
      </c>
      <c r="I69">
        <v>79371</v>
      </c>
      <c r="J69">
        <v>46174</v>
      </c>
      <c r="K69">
        <v>48440</v>
      </c>
      <c r="L69">
        <v>57151</v>
      </c>
      <c r="M69">
        <v>39325</v>
      </c>
      <c r="N69">
        <v>37496</v>
      </c>
      <c r="O69">
        <v>260</v>
      </c>
      <c r="P69">
        <v>275</v>
      </c>
      <c r="Q69">
        <v>267</v>
      </c>
      <c r="R69">
        <v>264</v>
      </c>
      <c r="S69">
        <v>207</v>
      </c>
      <c r="T69">
        <v>149</v>
      </c>
      <c r="U69">
        <v>117</v>
      </c>
      <c r="V69">
        <v>43</v>
      </c>
      <c r="W69">
        <v>39</v>
      </c>
      <c r="X69">
        <v>48</v>
      </c>
      <c r="Y69">
        <v>25</v>
      </c>
      <c r="Z69">
        <v>21</v>
      </c>
      <c r="AA69">
        <v>86717</v>
      </c>
      <c r="AB69">
        <v>93084</v>
      </c>
      <c r="AC69">
        <v>96602</v>
      </c>
      <c r="AD69">
        <v>97534</v>
      </c>
      <c r="AE69">
        <v>96768</v>
      </c>
      <c r="AF69">
        <v>90482</v>
      </c>
      <c r="AG69">
        <v>79488</v>
      </c>
      <c r="AH69">
        <v>46217</v>
      </c>
      <c r="AI69">
        <v>48479</v>
      </c>
      <c r="AJ69">
        <v>57199</v>
      </c>
      <c r="AK69">
        <v>39350</v>
      </c>
      <c r="AL69">
        <v>37517</v>
      </c>
    </row>
    <row r="70" spans="1:38">
      <c r="B70" t="s">
        <v>12</v>
      </c>
      <c r="C70">
        <v>58117</v>
      </c>
      <c r="D70">
        <v>61127</v>
      </c>
      <c r="E70">
        <v>74523</v>
      </c>
      <c r="F70">
        <v>61426</v>
      </c>
      <c r="G70">
        <v>27336</v>
      </c>
      <c r="H70">
        <v>15946</v>
      </c>
      <c r="I70">
        <v>15528</v>
      </c>
      <c r="J70">
        <v>11464</v>
      </c>
      <c r="K70">
        <v>10056</v>
      </c>
      <c r="L70">
        <v>11094</v>
      </c>
      <c r="M70">
        <v>5625</v>
      </c>
      <c r="N70">
        <v>4107</v>
      </c>
      <c r="O70">
        <v>141</v>
      </c>
      <c r="P70">
        <v>157</v>
      </c>
      <c r="Q70">
        <v>174</v>
      </c>
      <c r="R70">
        <v>86</v>
      </c>
      <c r="S70">
        <v>26</v>
      </c>
      <c r="T70">
        <v>13</v>
      </c>
      <c r="U70">
        <v>17</v>
      </c>
      <c r="V70">
        <v>10</v>
      </c>
      <c r="W70">
        <v>9</v>
      </c>
      <c r="X70">
        <v>9</v>
      </c>
      <c r="Y70">
        <v>5</v>
      </c>
      <c r="Z70">
        <v>4</v>
      </c>
      <c r="AA70">
        <v>58258</v>
      </c>
      <c r="AB70">
        <v>61284</v>
      </c>
      <c r="AC70">
        <v>74697</v>
      </c>
      <c r="AD70">
        <v>61512</v>
      </c>
      <c r="AE70">
        <v>27362</v>
      </c>
      <c r="AF70">
        <v>15959</v>
      </c>
      <c r="AG70">
        <v>15545</v>
      </c>
      <c r="AH70">
        <v>11474</v>
      </c>
      <c r="AI70">
        <v>10065</v>
      </c>
      <c r="AJ70">
        <v>11103</v>
      </c>
      <c r="AK70">
        <v>5630</v>
      </c>
      <c r="AL70">
        <v>4111</v>
      </c>
    </row>
    <row r="71" spans="1:38">
      <c r="B71" t="s">
        <v>13</v>
      </c>
      <c r="C71">
        <v>29411</v>
      </c>
      <c r="D71">
        <v>33316</v>
      </c>
      <c r="E71">
        <v>22721</v>
      </c>
      <c r="F71">
        <v>9903</v>
      </c>
      <c r="G71">
        <v>4480</v>
      </c>
      <c r="H71">
        <v>3358</v>
      </c>
      <c r="I71">
        <v>3095</v>
      </c>
      <c r="J71">
        <v>1171</v>
      </c>
      <c r="K71">
        <v>953</v>
      </c>
      <c r="L71">
        <v>911</v>
      </c>
      <c r="M71">
        <v>701</v>
      </c>
      <c r="N71">
        <v>660</v>
      </c>
      <c r="O71">
        <v>47</v>
      </c>
      <c r="P71">
        <v>47</v>
      </c>
      <c r="Q71">
        <v>21</v>
      </c>
      <c r="R71">
        <v>10</v>
      </c>
      <c r="S71">
        <v>3</v>
      </c>
      <c r="T71">
        <v>4</v>
      </c>
      <c r="U71">
        <v>4</v>
      </c>
      <c r="V71">
        <v>2</v>
      </c>
      <c r="W71">
        <v>2</v>
      </c>
      <c r="X71">
        <v>2</v>
      </c>
      <c r="Y71">
        <v>2</v>
      </c>
      <c r="Z71">
        <v>1</v>
      </c>
      <c r="AA71">
        <v>29458</v>
      </c>
      <c r="AB71">
        <v>33363</v>
      </c>
      <c r="AC71">
        <v>22742</v>
      </c>
      <c r="AD71">
        <v>9913</v>
      </c>
      <c r="AE71">
        <v>4483</v>
      </c>
      <c r="AF71">
        <v>3362</v>
      </c>
      <c r="AG71">
        <v>3099</v>
      </c>
      <c r="AH71">
        <v>1173</v>
      </c>
      <c r="AI71">
        <v>955</v>
      </c>
      <c r="AJ71">
        <v>913</v>
      </c>
      <c r="AK71">
        <v>703</v>
      </c>
      <c r="AL71">
        <v>661</v>
      </c>
    </row>
    <row r="72" spans="1:38">
      <c r="B72" t="s">
        <v>14</v>
      </c>
      <c r="C72">
        <v>3731</v>
      </c>
      <c r="D72">
        <v>3766</v>
      </c>
      <c r="E72">
        <v>5492</v>
      </c>
      <c r="F72">
        <v>2658</v>
      </c>
      <c r="G72">
        <v>1314</v>
      </c>
      <c r="H72">
        <v>1000</v>
      </c>
      <c r="I72">
        <v>796</v>
      </c>
      <c r="J72">
        <v>645</v>
      </c>
      <c r="K72">
        <v>540</v>
      </c>
      <c r="L72">
        <v>523</v>
      </c>
      <c r="M72">
        <v>421</v>
      </c>
      <c r="N72">
        <v>407</v>
      </c>
      <c r="O72">
        <v>5</v>
      </c>
      <c r="P72">
        <v>5</v>
      </c>
      <c r="Q72">
        <v>7</v>
      </c>
      <c r="R72">
        <v>4</v>
      </c>
      <c r="S72">
        <v>1</v>
      </c>
      <c r="T72">
        <v>1</v>
      </c>
      <c r="U72">
        <v>1</v>
      </c>
      <c r="V72">
        <v>0</v>
      </c>
      <c r="W72">
        <v>0</v>
      </c>
      <c r="X72">
        <v>0</v>
      </c>
      <c r="Y72">
        <v>0</v>
      </c>
      <c r="Z72">
        <v>0</v>
      </c>
      <c r="AA72">
        <v>3736</v>
      </c>
      <c r="AB72">
        <v>3771</v>
      </c>
      <c r="AC72">
        <v>5499</v>
      </c>
      <c r="AD72">
        <v>2662</v>
      </c>
      <c r="AE72">
        <v>1315</v>
      </c>
      <c r="AF72">
        <v>1001</v>
      </c>
      <c r="AG72">
        <v>797</v>
      </c>
      <c r="AH72">
        <v>645</v>
      </c>
      <c r="AI72">
        <v>540</v>
      </c>
      <c r="AJ72">
        <v>523</v>
      </c>
      <c r="AK72">
        <v>421</v>
      </c>
      <c r="AL72">
        <v>407</v>
      </c>
    </row>
    <row r="73" spans="1:38">
      <c r="B73" t="s">
        <v>15</v>
      </c>
      <c r="C73">
        <v>1883</v>
      </c>
      <c r="D73">
        <v>1956</v>
      </c>
      <c r="E73">
        <v>1795</v>
      </c>
      <c r="F73">
        <v>1098</v>
      </c>
      <c r="G73">
        <v>699</v>
      </c>
      <c r="H73">
        <v>599</v>
      </c>
      <c r="I73">
        <v>512</v>
      </c>
      <c r="J73">
        <v>382</v>
      </c>
      <c r="K73">
        <v>340</v>
      </c>
      <c r="L73">
        <v>335</v>
      </c>
      <c r="M73">
        <v>285</v>
      </c>
      <c r="N73">
        <v>276</v>
      </c>
      <c r="O73">
        <v>0</v>
      </c>
      <c r="P73">
        <v>0</v>
      </c>
      <c r="Q73">
        <v>0</v>
      </c>
      <c r="R73">
        <v>0</v>
      </c>
      <c r="S73">
        <v>2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1883</v>
      </c>
      <c r="AB73">
        <v>1956</v>
      </c>
      <c r="AC73">
        <v>1795</v>
      </c>
      <c r="AD73">
        <v>1098</v>
      </c>
      <c r="AE73">
        <v>701</v>
      </c>
      <c r="AF73">
        <v>599</v>
      </c>
      <c r="AG73">
        <v>512</v>
      </c>
      <c r="AH73">
        <v>382</v>
      </c>
      <c r="AI73">
        <v>340</v>
      </c>
      <c r="AJ73">
        <v>335</v>
      </c>
      <c r="AK73">
        <v>285</v>
      </c>
      <c r="AL73">
        <v>276</v>
      </c>
    </row>
    <row r="74" spans="1:38">
      <c r="B74" t="s">
        <v>16</v>
      </c>
      <c r="C74">
        <v>3646</v>
      </c>
      <c r="D74">
        <v>3456</v>
      </c>
      <c r="E74">
        <v>3621</v>
      </c>
      <c r="F74">
        <v>2494</v>
      </c>
      <c r="G74">
        <v>1820</v>
      </c>
      <c r="H74">
        <v>1644</v>
      </c>
      <c r="I74">
        <v>1502</v>
      </c>
      <c r="J74">
        <v>1362</v>
      </c>
      <c r="K74">
        <v>1287</v>
      </c>
      <c r="L74">
        <v>1310</v>
      </c>
      <c r="M74">
        <v>1154</v>
      </c>
      <c r="N74">
        <v>1125</v>
      </c>
      <c r="O74">
        <v>5</v>
      </c>
      <c r="P74">
        <v>3</v>
      </c>
      <c r="Q74">
        <v>2</v>
      </c>
      <c r="R74">
        <v>2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3651</v>
      </c>
      <c r="AB74">
        <v>3459</v>
      </c>
      <c r="AC74">
        <v>3623</v>
      </c>
      <c r="AD74">
        <v>2496</v>
      </c>
      <c r="AE74">
        <v>1820</v>
      </c>
      <c r="AF74">
        <v>1644</v>
      </c>
      <c r="AG74">
        <v>1502</v>
      </c>
      <c r="AH74">
        <v>1362</v>
      </c>
      <c r="AI74">
        <v>1287</v>
      </c>
      <c r="AJ74">
        <v>1310</v>
      </c>
      <c r="AK74">
        <v>1154</v>
      </c>
      <c r="AL74">
        <v>1125</v>
      </c>
    </row>
    <row r="75" spans="1:38">
      <c r="B75" t="s">
        <v>17</v>
      </c>
      <c r="C75">
        <v>752</v>
      </c>
      <c r="D75">
        <v>574</v>
      </c>
      <c r="E75">
        <v>596</v>
      </c>
      <c r="F75">
        <v>466</v>
      </c>
      <c r="G75">
        <v>292</v>
      </c>
      <c r="H75">
        <v>279</v>
      </c>
      <c r="I75">
        <v>224</v>
      </c>
      <c r="J75">
        <v>198</v>
      </c>
      <c r="K75">
        <v>184</v>
      </c>
      <c r="L75">
        <v>217</v>
      </c>
      <c r="M75">
        <v>184</v>
      </c>
      <c r="N75">
        <v>176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752</v>
      </c>
      <c r="AB75">
        <v>574</v>
      </c>
      <c r="AC75">
        <v>596</v>
      </c>
      <c r="AD75">
        <v>466</v>
      </c>
      <c r="AE75">
        <v>292</v>
      </c>
      <c r="AF75">
        <v>279</v>
      </c>
      <c r="AG75">
        <v>224</v>
      </c>
      <c r="AH75">
        <v>198</v>
      </c>
      <c r="AI75">
        <v>184</v>
      </c>
      <c r="AJ75">
        <v>217</v>
      </c>
      <c r="AK75">
        <v>184</v>
      </c>
      <c r="AL75">
        <v>176</v>
      </c>
    </row>
    <row r="76" spans="1:38">
      <c r="B76" t="s">
        <v>18</v>
      </c>
      <c r="C76">
        <v>39</v>
      </c>
      <c r="D76">
        <v>71</v>
      </c>
      <c r="E76">
        <v>72</v>
      </c>
      <c r="F76">
        <v>82</v>
      </c>
      <c r="G76">
        <v>52</v>
      </c>
      <c r="H76">
        <v>43</v>
      </c>
      <c r="I76">
        <v>43</v>
      </c>
      <c r="J76">
        <v>34</v>
      </c>
      <c r="K76">
        <v>28</v>
      </c>
      <c r="L76">
        <v>2</v>
      </c>
      <c r="M76">
        <v>2</v>
      </c>
      <c r="N76">
        <v>2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39</v>
      </c>
      <c r="AB76">
        <v>71</v>
      </c>
      <c r="AC76">
        <v>72</v>
      </c>
      <c r="AD76">
        <v>82</v>
      </c>
      <c r="AE76">
        <v>52</v>
      </c>
      <c r="AF76">
        <v>43</v>
      </c>
      <c r="AG76">
        <v>43</v>
      </c>
      <c r="AH76">
        <v>34</v>
      </c>
      <c r="AI76">
        <v>28</v>
      </c>
      <c r="AJ76">
        <v>2</v>
      </c>
      <c r="AK76">
        <v>2</v>
      </c>
      <c r="AL76">
        <v>2</v>
      </c>
    </row>
    <row r="77" spans="1:38">
      <c r="A77" t="s">
        <v>82</v>
      </c>
      <c r="B77" t="s">
        <v>3</v>
      </c>
      <c r="C77">
        <v>744051</v>
      </c>
      <c r="D77">
        <v>965458</v>
      </c>
      <c r="E77">
        <v>1243978</v>
      </c>
      <c r="F77">
        <v>1361905</v>
      </c>
      <c r="G77">
        <v>1357977</v>
      </c>
      <c r="H77">
        <v>1150139</v>
      </c>
      <c r="I77">
        <v>1059729</v>
      </c>
      <c r="J77">
        <v>999906</v>
      </c>
      <c r="K77">
        <v>1138452</v>
      </c>
      <c r="L77">
        <v>1174176</v>
      </c>
      <c r="M77">
        <v>1236620</v>
      </c>
      <c r="N77">
        <v>1356414</v>
      </c>
      <c r="O77">
        <v>120182</v>
      </c>
      <c r="P77">
        <v>142816</v>
      </c>
      <c r="Q77">
        <v>161624</v>
      </c>
      <c r="R77">
        <v>160098</v>
      </c>
      <c r="S77">
        <v>143929</v>
      </c>
      <c r="T77">
        <v>132273</v>
      </c>
      <c r="U77">
        <v>129255</v>
      </c>
      <c r="V77">
        <v>130525</v>
      </c>
      <c r="W77">
        <v>149674</v>
      </c>
      <c r="X77">
        <v>156635</v>
      </c>
      <c r="Y77">
        <v>171083</v>
      </c>
      <c r="Z77">
        <v>191870</v>
      </c>
      <c r="AA77">
        <v>864233</v>
      </c>
      <c r="AB77">
        <v>1108274</v>
      </c>
      <c r="AC77">
        <v>1405602</v>
      </c>
      <c r="AD77">
        <v>1522003</v>
      </c>
      <c r="AE77">
        <v>1501906</v>
      </c>
      <c r="AF77">
        <v>1282412</v>
      </c>
      <c r="AG77">
        <v>1188984</v>
      </c>
      <c r="AH77">
        <v>1130431</v>
      </c>
      <c r="AI77">
        <v>1288126</v>
      </c>
      <c r="AJ77">
        <v>1330811</v>
      </c>
      <c r="AK77">
        <v>1407703</v>
      </c>
      <c r="AL77">
        <v>1548284</v>
      </c>
    </row>
    <row r="78" spans="1:38">
      <c r="B78" t="s">
        <v>5</v>
      </c>
      <c r="C78">
        <v>4281</v>
      </c>
      <c r="D78">
        <v>5498</v>
      </c>
      <c r="E78">
        <v>7167</v>
      </c>
      <c r="F78">
        <v>9916</v>
      </c>
      <c r="G78">
        <v>12077</v>
      </c>
      <c r="H78">
        <v>14802</v>
      </c>
      <c r="I78">
        <v>16847</v>
      </c>
      <c r="J78">
        <v>19484</v>
      </c>
      <c r="K78">
        <v>22763</v>
      </c>
      <c r="L78">
        <v>26636</v>
      </c>
      <c r="M78">
        <v>32697</v>
      </c>
      <c r="N78">
        <v>38768</v>
      </c>
      <c r="O78">
        <v>1778</v>
      </c>
      <c r="P78">
        <v>2402</v>
      </c>
      <c r="Q78">
        <v>3110</v>
      </c>
      <c r="R78">
        <v>4062</v>
      </c>
      <c r="S78">
        <v>5538</v>
      </c>
      <c r="T78">
        <v>6597</v>
      </c>
      <c r="U78">
        <v>7653</v>
      </c>
      <c r="V78">
        <v>8616</v>
      </c>
      <c r="W78">
        <v>9460</v>
      </c>
      <c r="X78">
        <v>10441</v>
      </c>
      <c r="Y78">
        <v>11393</v>
      </c>
      <c r="Z78">
        <v>12421</v>
      </c>
      <c r="AA78">
        <v>6059</v>
      </c>
      <c r="AB78">
        <v>7900</v>
      </c>
      <c r="AC78">
        <v>10277</v>
      </c>
      <c r="AD78">
        <v>13978</v>
      </c>
      <c r="AE78">
        <v>17615</v>
      </c>
      <c r="AF78">
        <v>21399</v>
      </c>
      <c r="AG78">
        <v>24500</v>
      </c>
      <c r="AH78">
        <v>28100</v>
      </c>
      <c r="AI78">
        <v>32223</v>
      </c>
      <c r="AJ78">
        <v>37077</v>
      </c>
      <c r="AK78">
        <v>44090</v>
      </c>
      <c r="AL78">
        <v>51189</v>
      </c>
    </row>
    <row r="79" spans="1:38">
      <c r="B79" t="s">
        <v>6</v>
      </c>
      <c r="C79">
        <v>170022</v>
      </c>
      <c r="D79">
        <v>190440</v>
      </c>
      <c r="E79">
        <v>275952</v>
      </c>
      <c r="F79">
        <v>322078</v>
      </c>
      <c r="G79">
        <v>360072</v>
      </c>
      <c r="H79">
        <v>322623</v>
      </c>
      <c r="I79">
        <v>308961</v>
      </c>
      <c r="J79">
        <v>318585</v>
      </c>
      <c r="K79">
        <v>367294</v>
      </c>
      <c r="L79">
        <v>375359</v>
      </c>
      <c r="M79">
        <v>453202</v>
      </c>
      <c r="N79">
        <v>499493</v>
      </c>
      <c r="O79">
        <v>105218</v>
      </c>
      <c r="P79">
        <v>129009</v>
      </c>
      <c r="Q79">
        <v>148372</v>
      </c>
      <c r="R79">
        <v>149341</v>
      </c>
      <c r="S79">
        <v>134880</v>
      </c>
      <c r="T79">
        <v>123464</v>
      </c>
      <c r="U79">
        <v>120266</v>
      </c>
      <c r="V79">
        <v>120930</v>
      </c>
      <c r="W79">
        <v>139292</v>
      </c>
      <c r="X79">
        <v>145357</v>
      </c>
      <c r="Y79">
        <v>159026</v>
      </c>
      <c r="Z79">
        <v>178787</v>
      </c>
      <c r="AA79">
        <v>275240</v>
      </c>
      <c r="AB79">
        <v>319449</v>
      </c>
      <c r="AC79">
        <v>424324</v>
      </c>
      <c r="AD79">
        <v>471419</v>
      </c>
      <c r="AE79">
        <v>494952</v>
      </c>
      <c r="AF79">
        <v>446087</v>
      </c>
      <c r="AG79">
        <v>429227</v>
      </c>
      <c r="AH79">
        <v>439515</v>
      </c>
      <c r="AI79">
        <v>506586</v>
      </c>
      <c r="AJ79">
        <v>520716</v>
      </c>
      <c r="AK79">
        <v>612228</v>
      </c>
      <c r="AL79">
        <v>678280</v>
      </c>
    </row>
    <row r="80" spans="1:38">
      <c r="B80" t="s">
        <v>7</v>
      </c>
      <c r="C80">
        <v>241926</v>
      </c>
      <c r="D80">
        <v>331755</v>
      </c>
      <c r="E80">
        <v>410959</v>
      </c>
      <c r="F80">
        <v>479210</v>
      </c>
      <c r="G80">
        <v>500455</v>
      </c>
      <c r="H80">
        <v>427021</v>
      </c>
      <c r="I80">
        <v>408209</v>
      </c>
      <c r="J80">
        <v>391579</v>
      </c>
      <c r="K80">
        <v>463157</v>
      </c>
      <c r="L80">
        <v>493258</v>
      </c>
      <c r="M80">
        <v>504614</v>
      </c>
      <c r="N80">
        <v>565023</v>
      </c>
      <c r="O80">
        <v>9285</v>
      </c>
      <c r="P80">
        <v>8106</v>
      </c>
      <c r="Q80">
        <v>7115</v>
      </c>
      <c r="R80">
        <v>5028</v>
      </c>
      <c r="S80">
        <v>2711</v>
      </c>
      <c r="T80">
        <v>1734</v>
      </c>
      <c r="U80">
        <v>1063</v>
      </c>
      <c r="V80">
        <v>810</v>
      </c>
      <c r="W80">
        <v>788</v>
      </c>
      <c r="X80">
        <v>711</v>
      </c>
      <c r="Y80">
        <v>581</v>
      </c>
      <c r="Z80">
        <v>584</v>
      </c>
      <c r="AA80">
        <v>251211</v>
      </c>
      <c r="AB80">
        <v>339861</v>
      </c>
      <c r="AC80">
        <v>418074</v>
      </c>
      <c r="AD80">
        <v>484238</v>
      </c>
      <c r="AE80">
        <v>503166</v>
      </c>
      <c r="AF80">
        <v>428755</v>
      </c>
      <c r="AG80">
        <v>409272</v>
      </c>
      <c r="AH80">
        <v>392389</v>
      </c>
      <c r="AI80">
        <v>463945</v>
      </c>
      <c r="AJ80">
        <v>493969</v>
      </c>
      <c r="AK80">
        <v>505195</v>
      </c>
      <c r="AL80">
        <v>565607</v>
      </c>
    </row>
    <row r="81" spans="1:38">
      <c r="B81" t="s">
        <v>8</v>
      </c>
      <c r="C81">
        <v>132845</v>
      </c>
      <c r="D81">
        <v>176768</v>
      </c>
      <c r="E81">
        <v>229189</v>
      </c>
      <c r="F81">
        <v>239151</v>
      </c>
      <c r="G81">
        <v>222566</v>
      </c>
      <c r="H81">
        <v>181289</v>
      </c>
      <c r="I81">
        <v>157858</v>
      </c>
      <c r="J81">
        <v>138552</v>
      </c>
      <c r="K81">
        <v>152249</v>
      </c>
      <c r="L81">
        <v>152657</v>
      </c>
      <c r="M81">
        <v>142201</v>
      </c>
      <c r="N81">
        <v>149605</v>
      </c>
      <c r="O81">
        <v>2821</v>
      </c>
      <c r="P81">
        <v>2322</v>
      </c>
      <c r="Q81">
        <v>2127</v>
      </c>
      <c r="R81">
        <v>1222</v>
      </c>
      <c r="S81">
        <v>588</v>
      </c>
      <c r="T81">
        <v>349</v>
      </c>
      <c r="U81">
        <v>206</v>
      </c>
      <c r="V81">
        <v>130</v>
      </c>
      <c r="W81">
        <v>101</v>
      </c>
      <c r="X81">
        <v>101</v>
      </c>
      <c r="Y81">
        <v>69</v>
      </c>
      <c r="Z81">
        <v>68</v>
      </c>
      <c r="AA81">
        <v>135666</v>
      </c>
      <c r="AB81">
        <v>179090</v>
      </c>
      <c r="AC81">
        <v>231316</v>
      </c>
      <c r="AD81">
        <v>240373</v>
      </c>
      <c r="AE81">
        <v>223154</v>
      </c>
      <c r="AF81">
        <v>181638</v>
      </c>
      <c r="AG81">
        <v>158064</v>
      </c>
      <c r="AH81">
        <v>138682</v>
      </c>
      <c r="AI81">
        <v>152350</v>
      </c>
      <c r="AJ81">
        <v>152758</v>
      </c>
      <c r="AK81">
        <v>142270</v>
      </c>
      <c r="AL81">
        <v>149673</v>
      </c>
    </row>
    <row r="82" spans="1:38">
      <c r="B82" t="s">
        <v>9</v>
      </c>
      <c r="C82">
        <v>69964</v>
      </c>
      <c r="D82">
        <v>94206</v>
      </c>
      <c r="E82">
        <v>120640</v>
      </c>
      <c r="F82">
        <v>127631</v>
      </c>
      <c r="G82">
        <v>116411</v>
      </c>
      <c r="H82">
        <v>93395</v>
      </c>
      <c r="I82">
        <v>78798</v>
      </c>
      <c r="J82">
        <v>65163</v>
      </c>
      <c r="K82">
        <v>67772</v>
      </c>
      <c r="L82">
        <v>65173</v>
      </c>
      <c r="M82">
        <v>57279</v>
      </c>
      <c r="N82">
        <v>58351</v>
      </c>
      <c r="O82">
        <v>716</v>
      </c>
      <c r="P82">
        <v>629</v>
      </c>
      <c r="Q82">
        <v>583</v>
      </c>
      <c r="R82">
        <v>283</v>
      </c>
      <c r="S82">
        <v>147</v>
      </c>
      <c r="T82">
        <v>94</v>
      </c>
      <c r="U82">
        <v>50</v>
      </c>
      <c r="V82">
        <v>30</v>
      </c>
      <c r="W82">
        <v>24</v>
      </c>
      <c r="X82">
        <v>16</v>
      </c>
      <c r="Y82">
        <v>10</v>
      </c>
      <c r="Z82">
        <v>7</v>
      </c>
      <c r="AA82">
        <v>70680</v>
      </c>
      <c r="AB82">
        <v>94835</v>
      </c>
      <c r="AC82">
        <v>121223</v>
      </c>
      <c r="AD82">
        <v>127914</v>
      </c>
      <c r="AE82">
        <v>116558</v>
      </c>
      <c r="AF82">
        <v>93489</v>
      </c>
      <c r="AG82">
        <v>78848</v>
      </c>
      <c r="AH82">
        <v>65193</v>
      </c>
      <c r="AI82">
        <v>67796</v>
      </c>
      <c r="AJ82">
        <v>65189</v>
      </c>
      <c r="AK82">
        <v>57289</v>
      </c>
      <c r="AL82">
        <v>58358</v>
      </c>
    </row>
    <row r="83" spans="1:38">
      <c r="B83" t="s">
        <v>10</v>
      </c>
      <c r="C83">
        <v>44036</v>
      </c>
      <c r="D83">
        <v>59672</v>
      </c>
      <c r="E83">
        <v>75679</v>
      </c>
      <c r="F83">
        <v>74542</v>
      </c>
      <c r="G83">
        <v>65476</v>
      </c>
      <c r="H83">
        <v>52688</v>
      </c>
      <c r="I83">
        <v>44667</v>
      </c>
      <c r="J83">
        <v>37230</v>
      </c>
      <c r="K83">
        <v>38424</v>
      </c>
      <c r="L83">
        <v>36571</v>
      </c>
      <c r="M83">
        <v>34269</v>
      </c>
      <c r="N83">
        <v>34774</v>
      </c>
      <c r="O83">
        <v>247</v>
      </c>
      <c r="P83">
        <v>222</v>
      </c>
      <c r="Q83">
        <v>213</v>
      </c>
      <c r="R83">
        <v>115</v>
      </c>
      <c r="S83">
        <v>49</v>
      </c>
      <c r="T83">
        <v>28</v>
      </c>
      <c r="U83">
        <v>15</v>
      </c>
      <c r="V83">
        <v>8</v>
      </c>
      <c r="W83">
        <v>8</v>
      </c>
      <c r="X83">
        <v>5</v>
      </c>
      <c r="Y83">
        <v>3</v>
      </c>
      <c r="Z83">
        <v>2</v>
      </c>
      <c r="AA83">
        <v>44283</v>
      </c>
      <c r="AB83">
        <v>59894</v>
      </c>
      <c r="AC83">
        <v>75892</v>
      </c>
      <c r="AD83">
        <v>74657</v>
      </c>
      <c r="AE83">
        <v>65525</v>
      </c>
      <c r="AF83">
        <v>52716</v>
      </c>
      <c r="AG83">
        <v>44682</v>
      </c>
      <c r="AH83">
        <v>37238</v>
      </c>
      <c r="AI83">
        <v>38432</v>
      </c>
      <c r="AJ83">
        <v>36576</v>
      </c>
      <c r="AK83">
        <v>34272</v>
      </c>
      <c r="AL83">
        <v>34776</v>
      </c>
    </row>
    <row r="84" spans="1:38">
      <c r="B84" t="s">
        <v>11</v>
      </c>
      <c r="C84">
        <v>29642</v>
      </c>
      <c r="D84">
        <v>39491</v>
      </c>
      <c r="E84">
        <v>48125</v>
      </c>
      <c r="F84">
        <v>48511</v>
      </c>
      <c r="G84">
        <v>49490</v>
      </c>
      <c r="H84">
        <v>46355</v>
      </c>
      <c r="I84">
        <v>37249</v>
      </c>
      <c r="J84">
        <v>27059</v>
      </c>
      <c r="K84">
        <v>25153</v>
      </c>
      <c r="L84">
        <v>23065</v>
      </c>
      <c r="M84">
        <v>12354</v>
      </c>
      <c r="N84">
        <v>10396</v>
      </c>
      <c r="O84">
        <v>79</v>
      </c>
      <c r="P84">
        <v>86</v>
      </c>
      <c r="Q84">
        <v>69</v>
      </c>
      <c r="R84">
        <v>35</v>
      </c>
      <c r="S84">
        <v>12</v>
      </c>
      <c r="T84">
        <v>6</v>
      </c>
      <c r="U84">
        <v>2</v>
      </c>
      <c r="V84">
        <v>1</v>
      </c>
      <c r="W84">
        <v>1</v>
      </c>
      <c r="X84">
        <v>3</v>
      </c>
      <c r="Y84">
        <v>1</v>
      </c>
      <c r="Z84">
        <v>1</v>
      </c>
      <c r="AA84">
        <v>29721</v>
      </c>
      <c r="AB84">
        <v>39577</v>
      </c>
      <c r="AC84">
        <v>48194</v>
      </c>
      <c r="AD84">
        <v>48546</v>
      </c>
      <c r="AE84">
        <v>49502</v>
      </c>
      <c r="AF84">
        <v>46361</v>
      </c>
      <c r="AG84">
        <v>37251</v>
      </c>
      <c r="AH84">
        <v>27060</v>
      </c>
      <c r="AI84">
        <v>25154</v>
      </c>
      <c r="AJ84">
        <v>23068</v>
      </c>
      <c r="AK84">
        <v>12355</v>
      </c>
      <c r="AL84">
        <v>10397</v>
      </c>
    </row>
    <row r="85" spans="1:38">
      <c r="B85" t="s">
        <v>12</v>
      </c>
      <c r="C85">
        <v>25435</v>
      </c>
      <c r="D85">
        <v>31452</v>
      </c>
      <c r="E85">
        <v>40175</v>
      </c>
      <c r="F85">
        <v>52602</v>
      </c>
      <c r="G85">
        <v>29816</v>
      </c>
      <c r="H85">
        <v>11964</v>
      </c>
      <c r="I85">
        <v>7136</v>
      </c>
      <c r="J85">
        <v>2254</v>
      </c>
      <c r="K85">
        <v>1640</v>
      </c>
      <c r="L85">
        <v>1457</v>
      </c>
      <c r="M85">
        <v>4</v>
      </c>
      <c r="N85">
        <v>3</v>
      </c>
      <c r="O85">
        <v>27</v>
      </c>
      <c r="P85">
        <v>28</v>
      </c>
      <c r="Q85">
        <v>24</v>
      </c>
      <c r="R85">
        <v>10</v>
      </c>
      <c r="S85">
        <v>4</v>
      </c>
      <c r="T85">
        <v>1</v>
      </c>
      <c r="U85">
        <v>0</v>
      </c>
      <c r="V85">
        <v>0</v>
      </c>
      <c r="W85">
        <v>0</v>
      </c>
      <c r="X85">
        <v>1</v>
      </c>
      <c r="Y85">
        <v>0</v>
      </c>
      <c r="Z85">
        <v>0</v>
      </c>
      <c r="AA85">
        <v>25462</v>
      </c>
      <c r="AB85">
        <v>31480</v>
      </c>
      <c r="AC85">
        <v>40199</v>
      </c>
      <c r="AD85">
        <v>52612</v>
      </c>
      <c r="AE85">
        <v>29820</v>
      </c>
      <c r="AF85">
        <v>11965</v>
      </c>
      <c r="AG85">
        <v>7136</v>
      </c>
      <c r="AH85">
        <v>2254</v>
      </c>
      <c r="AI85">
        <v>1640</v>
      </c>
      <c r="AJ85">
        <v>1458</v>
      </c>
      <c r="AK85">
        <v>4</v>
      </c>
      <c r="AL85">
        <v>3</v>
      </c>
    </row>
    <row r="86" spans="1:38">
      <c r="B86" t="s">
        <v>13</v>
      </c>
      <c r="C86">
        <v>25899</v>
      </c>
      <c r="D86">
        <v>36175</v>
      </c>
      <c r="E86">
        <v>35483</v>
      </c>
      <c r="F86">
        <v>8048</v>
      </c>
      <c r="G86">
        <v>1613</v>
      </c>
      <c r="H86">
        <v>2</v>
      </c>
      <c r="I86">
        <v>4</v>
      </c>
      <c r="J86">
        <v>0</v>
      </c>
      <c r="K86">
        <v>0</v>
      </c>
      <c r="L86">
        <v>0</v>
      </c>
      <c r="M86">
        <v>0</v>
      </c>
      <c r="N86">
        <v>0</v>
      </c>
      <c r="O86">
        <v>11</v>
      </c>
      <c r="P86">
        <v>12</v>
      </c>
      <c r="Q86">
        <v>11</v>
      </c>
      <c r="R86">
        <v>2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25910</v>
      </c>
      <c r="AB86">
        <v>36187</v>
      </c>
      <c r="AC86">
        <v>35494</v>
      </c>
      <c r="AD86">
        <v>8050</v>
      </c>
      <c r="AE86">
        <v>1613</v>
      </c>
      <c r="AF86">
        <v>2</v>
      </c>
      <c r="AG86">
        <v>4</v>
      </c>
      <c r="AH86">
        <v>0</v>
      </c>
      <c r="AI86">
        <v>0</v>
      </c>
      <c r="AJ86">
        <v>0</v>
      </c>
      <c r="AK86">
        <v>0</v>
      </c>
      <c r="AL86">
        <v>0</v>
      </c>
    </row>
    <row r="87" spans="1:38">
      <c r="B87" t="s">
        <v>14</v>
      </c>
      <c r="C87">
        <v>0</v>
      </c>
      <c r="D87">
        <v>0</v>
      </c>
      <c r="E87">
        <v>609</v>
      </c>
      <c r="F87">
        <v>216</v>
      </c>
      <c r="G87">
        <v>1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1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609</v>
      </c>
      <c r="AD87">
        <v>216</v>
      </c>
      <c r="AE87">
        <v>1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1</v>
      </c>
    </row>
    <row r="88" spans="1:38">
      <c r="B88" t="s">
        <v>15</v>
      </c>
      <c r="C88">
        <v>1</v>
      </c>
      <c r="D88">
        <v>1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1</v>
      </c>
      <c r="AB88">
        <v>1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</v>
      </c>
    </row>
    <row r="89" spans="1:38">
      <c r="A89" t="s">
        <v>83</v>
      </c>
      <c r="B89" t="s">
        <v>3</v>
      </c>
      <c r="C89">
        <v>732145</v>
      </c>
      <c r="D89">
        <v>950513</v>
      </c>
      <c r="E89">
        <v>1225932</v>
      </c>
      <c r="F89">
        <v>1339493</v>
      </c>
      <c r="G89">
        <v>1333328</v>
      </c>
      <c r="H89">
        <v>1121285</v>
      </c>
      <c r="I89">
        <v>1025686</v>
      </c>
      <c r="J89">
        <v>959086</v>
      </c>
      <c r="K89">
        <v>1091864</v>
      </c>
      <c r="L89">
        <v>1119786</v>
      </c>
      <c r="M89">
        <v>1172464</v>
      </c>
      <c r="N89">
        <v>1281067</v>
      </c>
      <c r="O89">
        <v>116929</v>
      </c>
      <c r="P89">
        <v>138612</v>
      </c>
      <c r="Q89">
        <v>156325</v>
      </c>
      <c r="R89">
        <v>153382</v>
      </c>
      <c r="S89">
        <v>135856</v>
      </c>
      <c r="T89">
        <v>123065</v>
      </c>
      <c r="U89">
        <v>119010</v>
      </c>
      <c r="V89">
        <v>119184</v>
      </c>
      <c r="W89">
        <v>137397</v>
      </c>
      <c r="X89">
        <v>143243</v>
      </c>
      <c r="Y89">
        <v>156743</v>
      </c>
      <c r="Z89">
        <v>176366</v>
      </c>
      <c r="AA89">
        <v>849074</v>
      </c>
      <c r="AB89">
        <v>1089125</v>
      </c>
      <c r="AC89">
        <v>1382257</v>
      </c>
      <c r="AD89">
        <v>1492875</v>
      </c>
      <c r="AE89">
        <v>1469184</v>
      </c>
      <c r="AF89">
        <v>1244350</v>
      </c>
      <c r="AG89">
        <v>1144696</v>
      </c>
      <c r="AH89">
        <v>1078270</v>
      </c>
      <c r="AI89">
        <v>1229261</v>
      </c>
      <c r="AJ89">
        <v>1263029</v>
      </c>
      <c r="AK89">
        <v>1329207</v>
      </c>
      <c r="AL89">
        <v>1457433</v>
      </c>
    </row>
    <row r="90" spans="1:38">
      <c r="B90" t="s">
        <v>5</v>
      </c>
      <c r="C90">
        <v>1824</v>
      </c>
      <c r="D90">
        <v>2421</v>
      </c>
      <c r="E90">
        <v>3353</v>
      </c>
      <c r="F90">
        <v>4764</v>
      </c>
      <c r="G90">
        <v>5222</v>
      </c>
      <c r="H90">
        <v>6116</v>
      </c>
      <c r="I90">
        <v>5676</v>
      </c>
      <c r="J90">
        <v>5713</v>
      </c>
      <c r="K90">
        <v>6223</v>
      </c>
      <c r="L90">
        <v>6273</v>
      </c>
      <c r="M90">
        <v>6424</v>
      </c>
      <c r="N90">
        <v>6620</v>
      </c>
      <c r="O90">
        <v>70</v>
      </c>
      <c r="P90">
        <v>78</v>
      </c>
      <c r="Q90">
        <v>82</v>
      </c>
      <c r="R90">
        <v>88</v>
      </c>
      <c r="S90">
        <v>87</v>
      </c>
      <c r="T90">
        <v>99</v>
      </c>
      <c r="U90">
        <v>74</v>
      </c>
      <c r="V90">
        <v>78</v>
      </c>
      <c r="W90">
        <v>88</v>
      </c>
      <c r="X90">
        <v>102</v>
      </c>
      <c r="Y90">
        <v>127</v>
      </c>
      <c r="Z90">
        <v>134</v>
      </c>
      <c r="AA90">
        <v>1894</v>
      </c>
      <c r="AB90">
        <v>2499</v>
      </c>
      <c r="AC90">
        <v>3435</v>
      </c>
      <c r="AD90">
        <v>4852</v>
      </c>
      <c r="AE90">
        <v>5309</v>
      </c>
      <c r="AF90">
        <v>6215</v>
      </c>
      <c r="AG90">
        <v>5750</v>
      </c>
      <c r="AH90">
        <v>5791</v>
      </c>
      <c r="AI90">
        <v>6311</v>
      </c>
      <c r="AJ90">
        <v>6375</v>
      </c>
      <c r="AK90">
        <v>6551</v>
      </c>
      <c r="AL90">
        <v>6754</v>
      </c>
    </row>
    <row r="91" spans="1:38">
      <c r="B91" t="s">
        <v>6</v>
      </c>
      <c r="C91">
        <v>168271</v>
      </c>
      <c r="D91">
        <v>188653</v>
      </c>
      <c r="E91">
        <v>273832</v>
      </c>
      <c r="F91">
        <v>318985</v>
      </c>
      <c r="G91">
        <v>356005</v>
      </c>
      <c r="H91">
        <v>317344</v>
      </c>
      <c r="I91">
        <v>302380</v>
      </c>
      <c r="J91">
        <v>309661</v>
      </c>
      <c r="K91">
        <v>358136</v>
      </c>
      <c r="L91">
        <v>365615</v>
      </c>
      <c r="M91">
        <v>439980</v>
      </c>
      <c r="N91">
        <v>484146</v>
      </c>
      <c r="O91">
        <v>104037</v>
      </c>
      <c r="P91">
        <v>127528</v>
      </c>
      <c r="Q91">
        <v>146538</v>
      </c>
      <c r="R91">
        <v>147077</v>
      </c>
      <c r="S91">
        <v>132646</v>
      </c>
      <c r="T91">
        <v>121134</v>
      </c>
      <c r="U91">
        <v>117934</v>
      </c>
      <c r="V91">
        <v>118427</v>
      </c>
      <c r="W91">
        <v>136728</v>
      </c>
      <c r="X91">
        <v>142612</v>
      </c>
      <c r="Y91">
        <v>156183</v>
      </c>
      <c r="Z91">
        <v>175811</v>
      </c>
      <c r="AA91">
        <v>272308</v>
      </c>
      <c r="AB91">
        <v>316181</v>
      </c>
      <c r="AC91">
        <v>420370</v>
      </c>
      <c r="AD91">
        <v>466062</v>
      </c>
      <c r="AE91">
        <v>488651</v>
      </c>
      <c r="AF91">
        <v>438478</v>
      </c>
      <c r="AG91">
        <v>420314</v>
      </c>
      <c r="AH91">
        <v>428088</v>
      </c>
      <c r="AI91">
        <v>494864</v>
      </c>
      <c r="AJ91">
        <v>508227</v>
      </c>
      <c r="AK91">
        <v>596163</v>
      </c>
      <c r="AL91">
        <v>659957</v>
      </c>
    </row>
    <row r="92" spans="1:38">
      <c r="B92" t="s">
        <v>7</v>
      </c>
      <c r="C92">
        <v>237447</v>
      </c>
      <c r="D92">
        <v>325684</v>
      </c>
      <c r="E92">
        <v>403213</v>
      </c>
      <c r="F92">
        <v>469124</v>
      </c>
      <c r="G92">
        <v>489700</v>
      </c>
      <c r="H92">
        <v>415027</v>
      </c>
      <c r="I92">
        <v>394777</v>
      </c>
      <c r="J92">
        <v>376217</v>
      </c>
      <c r="K92">
        <v>445136</v>
      </c>
      <c r="L92">
        <v>472087</v>
      </c>
      <c r="M92">
        <v>482572</v>
      </c>
      <c r="N92">
        <v>539816</v>
      </c>
      <c r="O92">
        <v>9019</v>
      </c>
      <c r="P92">
        <v>7794</v>
      </c>
      <c r="Q92">
        <v>6765</v>
      </c>
      <c r="R92">
        <v>4623</v>
      </c>
      <c r="S92">
        <v>2375</v>
      </c>
      <c r="T92">
        <v>1396</v>
      </c>
      <c r="U92">
        <v>752</v>
      </c>
      <c r="V92">
        <v>531</v>
      </c>
      <c r="W92">
        <v>463</v>
      </c>
      <c r="X92">
        <v>419</v>
      </c>
      <c r="Y92">
        <v>355</v>
      </c>
      <c r="Z92">
        <v>348</v>
      </c>
      <c r="AA92">
        <v>246466</v>
      </c>
      <c r="AB92">
        <v>333478</v>
      </c>
      <c r="AC92">
        <v>409978</v>
      </c>
      <c r="AD92">
        <v>473747</v>
      </c>
      <c r="AE92">
        <v>492075</v>
      </c>
      <c r="AF92">
        <v>416423</v>
      </c>
      <c r="AG92">
        <v>395529</v>
      </c>
      <c r="AH92">
        <v>376748</v>
      </c>
      <c r="AI92">
        <v>445599</v>
      </c>
      <c r="AJ92">
        <v>472506</v>
      </c>
      <c r="AK92">
        <v>482927</v>
      </c>
      <c r="AL92">
        <v>540164</v>
      </c>
    </row>
    <row r="93" spans="1:38">
      <c r="B93" t="s">
        <v>8</v>
      </c>
      <c r="C93">
        <v>130728</v>
      </c>
      <c r="D93">
        <v>174076</v>
      </c>
      <c r="E93">
        <v>226171</v>
      </c>
      <c r="F93">
        <v>236126</v>
      </c>
      <c r="G93">
        <v>220316</v>
      </c>
      <c r="H93">
        <v>179005</v>
      </c>
      <c r="I93">
        <v>155515</v>
      </c>
      <c r="J93">
        <v>136109</v>
      </c>
      <c r="K93">
        <v>149665</v>
      </c>
      <c r="L93">
        <v>149833</v>
      </c>
      <c r="M93">
        <v>139781</v>
      </c>
      <c r="N93">
        <v>147122</v>
      </c>
      <c r="O93">
        <v>2738</v>
      </c>
      <c r="P93">
        <v>2251</v>
      </c>
      <c r="Q93">
        <v>2059</v>
      </c>
      <c r="R93">
        <v>1165</v>
      </c>
      <c r="S93">
        <v>546</v>
      </c>
      <c r="T93">
        <v>314</v>
      </c>
      <c r="U93">
        <v>187</v>
      </c>
      <c r="V93">
        <v>111</v>
      </c>
      <c r="W93">
        <v>88</v>
      </c>
      <c r="X93">
        <v>87</v>
      </c>
      <c r="Y93">
        <v>65</v>
      </c>
      <c r="Z93">
        <v>63</v>
      </c>
      <c r="AA93">
        <v>133466</v>
      </c>
      <c r="AB93">
        <v>176327</v>
      </c>
      <c r="AC93">
        <v>228230</v>
      </c>
      <c r="AD93">
        <v>237291</v>
      </c>
      <c r="AE93">
        <v>220862</v>
      </c>
      <c r="AF93">
        <v>179319</v>
      </c>
      <c r="AG93">
        <v>155702</v>
      </c>
      <c r="AH93">
        <v>136220</v>
      </c>
      <c r="AI93">
        <v>149753</v>
      </c>
      <c r="AJ93">
        <v>149920</v>
      </c>
      <c r="AK93">
        <v>139846</v>
      </c>
      <c r="AL93">
        <v>147185</v>
      </c>
    </row>
    <row r="94" spans="1:38">
      <c r="B94" t="s">
        <v>9</v>
      </c>
      <c r="C94">
        <v>69234</v>
      </c>
      <c r="D94">
        <v>93305</v>
      </c>
      <c r="E94">
        <v>119667</v>
      </c>
      <c r="F94">
        <v>126841</v>
      </c>
      <c r="G94">
        <v>115863</v>
      </c>
      <c r="H94">
        <v>92921</v>
      </c>
      <c r="I94">
        <v>78390</v>
      </c>
      <c r="J94">
        <v>64921</v>
      </c>
      <c r="K94">
        <v>67563</v>
      </c>
      <c r="L94">
        <v>64947</v>
      </c>
      <c r="M94">
        <v>57127</v>
      </c>
      <c r="N94">
        <v>58235</v>
      </c>
      <c r="O94">
        <v>706</v>
      </c>
      <c r="P94">
        <v>619</v>
      </c>
      <c r="Q94">
        <v>570</v>
      </c>
      <c r="R94">
        <v>272</v>
      </c>
      <c r="S94">
        <v>139</v>
      </c>
      <c r="T94">
        <v>87</v>
      </c>
      <c r="U94">
        <v>46</v>
      </c>
      <c r="V94">
        <v>28</v>
      </c>
      <c r="W94">
        <v>21</v>
      </c>
      <c r="X94">
        <v>14</v>
      </c>
      <c r="Y94">
        <v>9</v>
      </c>
      <c r="Z94">
        <v>7</v>
      </c>
      <c r="AA94">
        <v>69940</v>
      </c>
      <c r="AB94">
        <v>93924</v>
      </c>
      <c r="AC94">
        <v>120237</v>
      </c>
      <c r="AD94">
        <v>127113</v>
      </c>
      <c r="AE94">
        <v>116002</v>
      </c>
      <c r="AF94">
        <v>93008</v>
      </c>
      <c r="AG94">
        <v>78436</v>
      </c>
      <c r="AH94">
        <v>64949</v>
      </c>
      <c r="AI94">
        <v>67584</v>
      </c>
      <c r="AJ94">
        <v>64961</v>
      </c>
      <c r="AK94">
        <v>57136</v>
      </c>
      <c r="AL94">
        <v>58242</v>
      </c>
    </row>
    <row r="95" spans="1:38">
      <c r="B95" t="s">
        <v>10</v>
      </c>
      <c r="C95">
        <v>43827</v>
      </c>
      <c r="D95">
        <v>59424</v>
      </c>
      <c r="E95">
        <v>75453</v>
      </c>
      <c r="F95">
        <v>74382</v>
      </c>
      <c r="G95">
        <v>65367</v>
      </c>
      <c r="H95">
        <v>52591</v>
      </c>
      <c r="I95">
        <v>44591</v>
      </c>
      <c r="J95">
        <v>37167</v>
      </c>
      <c r="K95">
        <v>38358</v>
      </c>
      <c r="L95">
        <v>36518</v>
      </c>
      <c r="M95">
        <v>34231</v>
      </c>
      <c r="N95">
        <v>34738</v>
      </c>
      <c r="O95">
        <v>244</v>
      </c>
      <c r="P95">
        <v>217</v>
      </c>
      <c r="Q95">
        <v>208</v>
      </c>
      <c r="R95">
        <v>110</v>
      </c>
      <c r="S95">
        <v>47</v>
      </c>
      <c r="T95">
        <v>28</v>
      </c>
      <c r="U95">
        <v>15</v>
      </c>
      <c r="V95">
        <v>8</v>
      </c>
      <c r="W95">
        <v>8</v>
      </c>
      <c r="X95">
        <v>5</v>
      </c>
      <c r="Y95">
        <v>3</v>
      </c>
      <c r="Z95">
        <v>2</v>
      </c>
      <c r="AA95">
        <v>44071</v>
      </c>
      <c r="AB95">
        <v>59641</v>
      </c>
      <c r="AC95">
        <v>75661</v>
      </c>
      <c r="AD95">
        <v>74492</v>
      </c>
      <c r="AE95">
        <v>65414</v>
      </c>
      <c r="AF95">
        <v>52619</v>
      </c>
      <c r="AG95">
        <v>44606</v>
      </c>
      <c r="AH95">
        <v>37175</v>
      </c>
      <c r="AI95">
        <v>38366</v>
      </c>
      <c r="AJ95">
        <v>36523</v>
      </c>
      <c r="AK95">
        <v>34234</v>
      </c>
      <c r="AL95">
        <v>34740</v>
      </c>
    </row>
    <row r="96" spans="1:38">
      <c r="B96" t="s">
        <v>11</v>
      </c>
      <c r="C96">
        <v>29553</v>
      </c>
      <c r="D96">
        <v>39396</v>
      </c>
      <c r="E96">
        <v>48039</v>
      </c>
      <c r="F96">
        <v>48442</v>
      </c>
      <c r="G96">
        <v>49440</v>
      </c>
      <c r="H96">
        <v>46320</v>
      </c>
      <c r="I96">
        <v>37224</v>
      </c>
      <c r="J96">
        <v>27047</v>
      </c>
      <c r="K96">
        <v>25144</v>
      </c>
      <c r="L96">
        <v>23058</v>
      </c>
      <c r="M96">
        <v>12347</v>
      </c>
      <c r="N96">
        <v>10387</v>
      </c>
      <c r="O96">
        <v>77</v>
      </c>
      <c r="P96">
        <v>85</v>
      </c>
      <c r="Q96">
        <v>68</v>
      </c>
      <c r="R96">
        <v>35</v>
      </c>
      <c r="S96">
        <v>12</v>
      </c>
      <c r="T96">
        <v>6</v>
      </c>
      <c r="U96">
        <v>2</v>
      </c>
      <c r="V96">
        <v>1</v>
      </c>
      <c r="W96">
        <v>1</v>
      </c>
      <c r="X96">
        <v>3</v>
      </c>
      <c r="Y96">
        <v>1</v>
      </c>
      <c r="Z96">
        <v>1</v>
      </c>
      <c r="AA96">
        <v>29630</v>
      </c>
      <c r="AB96">
        <v>39481</v>
      </c>
      <c r="AC96">
        <v>48107</v>
      </c>
      <c r="AD96">
        <v>48477</v>
      </c>
      <c r="AE96">
        <v>49452</v>
      </c>
      <c r="AF96">
        <v>46326</v>
      </c>
      <c r="AG96">
        <v>37226</v>
      </c>
      <c r="AH96">
        <v>27048</v>
      </c>
      <c r="AI96">
        <v>25145</v>
      </c>
      <c r="AJ96">
        <v>23061</v>
      </c>
      <c r="AK96">
        <v>12348</v>
      </c>
      <c r="AL96">
        <v>10388</v>
      </c>
    </row>
    <row r="97" spans="1:38">
      <c r="B97" t="s">
        <v>12</v>
      </c>
      <c r="C97">
        <v>25377</v>
      </c>
      <c r="D97">
        <v>31397</v>
      </c>
      <c r="E97">
        <v>40126</v>
      </c>
      <c r="F97">
        <v>52573</v>
      </c>
      <c r="G97">
        <v>29802</v>
      </c>
      <c r="H97">
        <v>11959</v>
      </c>
      <c r="I97">
        <v>7131</v>
      </c>
      <c r="J97">
        <v>2251</v>
      </c>
      <c r="K97">
        <v>1639</v>
      </c>
      <c r="L97">
        <v>1455</v>
      </c>
      <c r="M97">
        <v>2</v>
      </c>
      <c r="N97">
        <v>2</v>
      </c>
      <c r="O97">
        <v>27</v>
      </c>
      <c r="P97">
        <v>28</v>
      </c>
      <c r="Q97">
        <v>24</v>
      </c>
      <c r="R97">
        <v>10</v>
      </c>
      <c r="S97">
        <v>4</v>
      </c>
      <c r="T97">
        <v>1</v>
      </c>
      <c r="U97">
        <v>0</v>
      </c>
      <c r="V97">
        <v>0</v>
      </c>
      <c r="W97">
        <v>0</v>
      </c>
      <c r="X97">
        <v>1</v>
      </c>
      <c r="Y97">
        <v>0</v>
      </c>
      <c r="Z97">
        <v>0</v>
      </c>
      <c r="AA97">
        <v>25404</v>
      </c>
      <c r="AB97">
        <v>31425</v>
      </c>
      <c r="AC97">
        <v>40150</v>
      </c>
      <c r="AD97">
        <v>52583</v>
      </c>
      <c r="AE97">
        <v>29806</v>
      </c>
      <c r="AF97">
        <v>11960</v>
      </c>
      <c r="AG97">
        <v>7131</v>
      </c>
      <c r="AH97">
        <v>2251</v>
      </c>
      <c r="AI97">
        <v>1639</v>
      </c>
      <c r="AJ97">
        <v>1456</v>
      </c>
      <c r="AK97">
        <v>2</v>
      </c>
      <c r="AL97">
        <v>2</v>
      </c>
    </row>
    <row r="98" spans="1:38">
      <c r="B98" t="s">
        <v>13</v>
      </c>
      <c r="C98">
        <v>25883</v>
      </c>
      <c r="D98">
        <v>36156</v>
      </c>
      <c r="E98">
        <v>35470</v>
      </c>
      <c r="F98">
        <v>8040</v>
      </c>
      <c r="G98">
        <v>1612</v>
      </c>
      <c r="H98">
        <v>2</v>
      </c>
      <c r="I98">
        <v>2</v>
      </c>
      <c r="J98">
        <v>0</v>
      </c>
      <c r="K98">
        <v>0</v>
      </c>
      <c r="L98">
        <v>0</v>
      </c>
      <c r="M98">
        <v>0</v>
      </c>
      <c r="N98">
        <v>0</v>
      </c>
      <c r="O98">
        <v>11</v>
      </c>
      <c r="P98">
        <v>12</v>
      </c>
      <c r="Q98">
        <v>11</v>
      </c>
      <c r="R98">
        <v>2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25894</v>
      </c>
      <c r="AB98">
        <v>36168</v>
      </c>
      <c r="AC98">
        <v>35481</v>
      </c>
      <c r="AD98">
        <v>8042</v>
      </c>
      <c r="AE98">
        <v>1612</v>
      </c>
      <c r="AF98">
        <v>2</v>
      </c>
      <c r="AG98">
        <v>2</v>
      </c>
      <c r="AH98">
        <v>0</v>
      </c>
      <c r="AI98">
        <v>0</v>
      </c>
      <c r="AJ98">
        <v>0</v>
      </c>
      <c r="AK98">
        <v>0</v>
      </c>
      <c r="AL98">
        <v>0</v>
      </c>
    </row>
    <row r="99" spans="1:38">
      <c r="B99" t="s">
        <v>14</v>
      </c>
      <c r="C99">
        <v>0</v>
      </c>
      <c r="D99">
        <v>0</v>
      </c>
      <c r="E99">
        <v>608</v>
      </c>
      <c r="F99">
        <v>216</v>
      </c>
      <c r="G99">
        <v>1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1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608</v>
      </c>
      <c r="AD99">
        <v>216</v>
      </c>
      <c r="AE99">
        <v>1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1</v>
      </c>
    </row>
    <row r="100" spans="1:38">
      <c r="B100" t="s">
        <v>15</v>
      </c>
      <c r="C100">
        <v>1</v>
      </c>
      <c r="D100">
        <v>1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1</v>
      </c>
      <c r="AB100">
        <v>1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</row>
    <row r="101" spans="1:38">
      <c r="A101" t="s">
        <v>84</v>
      </c>
      <c r="B101" t="s">
        <v>3</v>
      </c>
      <c r="C101">
        <v>7563</v>
      </c>
      <c r="D101">
        <v>9661</v>
      </c>
      <c r="E101">
        <v>11820</v>
      </c>
      <c r="F101">
        <v>14872</v>
      </c>
      <c r="G101">
        <v>15381</v>
      </c>
      <c r="H101">
        <v>17408</v>
      </c>
      <c r="I101">
        <v>19500</v>
      </c>
      <c r="J101">
        <v>23568</v>
      </c>
      <c r="K101">
        <v>26284</v>
      </c>
      <c r="L101">
        <v>29857</v>
      </c>
      <c r="M101">
        <v>34439</v>
      </c>
      <c r="N101">
        <v>39587</v>
      </c>
      <c r="O101">
        <v>1556</v>
      </c>
      <c r="P101">
        <v>1908</v>
      </c>
      <c r="Q101">
        <v>2344</v>
      </c>
      <c r="R101">
        <v>2868</v>
      </c>
      <c r="S101">
        <v>2769</v>
      </c>
      <c r="T101">
        <v>2900</v>
      </c>
      <c r="U101">
        <v>2877</v>
      </c>
      <c r="V101">
        <v>3077</v>
      </c>
      <c r="W101">
        <v>3183</v>
      </c>
      <c r="X101">
        <v>3388</v>
      </c>
      <c r="Y101">
        <v>3460</v>
      </c>
      <c r="Z101">
        <v>3616</v>
      </c>
      <c r="AA101">
        <v>9119</v>
      </c>
      <c r="AB101">
        <v>11569</v>
      </c>
      <c r="AC101">
        <v>14164</v>
      </c>
      <c r="AD101">
        <v>17740</v>
      </c>
      <c r="AE101">
        <v>18150</v>
      </c>
      <c r="AF101">
        <v>20308</v>
      </c>
      <c r="AG101">
        <v>22377</v>
      </c>
      <c r="AH101">
        <v>26645</v>
      </c>
      <c r="AI101">
        <v>29467</v>
      </c>
      <c r="AJ101">
        <v>33245</v>
      </c>
      <c r="AK101">
        <v>37899</v>
      </c>
      <c r="AL101">
        <v>43203</v>
      </c>
    </row>
    <row r="102" spans="1:38">
      <c r="B102" t="s">
        <v>5</v>
      </c>
      <c r="C102">
        <v>292</v>
      </c>
      <c r="D102">
        <v>493</v>
      </c>
      <c r="E102">
        <v>670</v>
      </c>
      <c r="F102">
        <v>1052</v>
      </c>
      <c r="G102">
        <v>1275</v>
      </c>
      <c r="H102">
        <v>1532</v>
      </c>
      <c r="I102">
        <v>1821</v>
      </c>
      <c r="J102">
        <v>2218</v>
      </c>
      <c r="K102">
        <v>2673</v>
      </c>
      <c r="L102">
        <v>3349</v>
      </c>
      <c r="M102">
        <v>4379</v>
      </c>
      <c r="N102">
        <v>5447</v>
      </c>
      <c r="O102">
        <v>51</v>
      </c>
      <c r="P102">
        <v>78</v>
      </c>
      <c r="Q102">
        <v>122</v>
      </c>
      <c r="R102">
        <v>175</v>
      </c>
      <c r="S102">
        <v>189</v>
      </c>
      <c r="T102">
        <v>233</v>
      </c>
      <c r="U102">
        <v>243</v>
      </c>
      <c r="V102">
        <v>298</v>
      </c>
      <c r="W102">
        <v>300</v>
      </c>
      <c r="X102">
        <v>356</v>
      </c>
      <c r="Y102">
        <v>407</v>
      </c>
      <c r="Z102">
        <v>422</v>
      </c>
      <c r="AA102">
        <v>343</v>
      </c>
      <c r="AB102">
        <v>571</v>
      </c>
      <c r="AC102">
        <v>792</v>
      </c>
      <c r="AD102">
        <v>1227</v>
      </c>
      <c r="AE102">
        <v>1464</v>
      </c>
      <c r="AF102">
        <v>1765</v>
      </c>
      <c r="AG102">
        <v>2064</v>
      </c>
      <c r="AH102">
        <v>2516</v>
      </c>
      <c r="AI102">
        <v>2973</v>
      </c>
      <c r="AJ102">
        <v>3705</v>
      </c>
      <c r="AK102">
        <v>4786</v>
      </c>
      <c r="AL102">
        <v>5869</v>
      </c>
    </row>
    <row r="103" spans="1:38">
      <c r="B103" t="s">
        <v>6</v>
      </c>
      <c r="C103">
        <v>1751</v>
      </c>
      <c r="D103">
        <v>1786</v>
      </c>
      <c r="E103">
        <v>2117</v>
      </c>
      <c r="F103">
        <v>3093</v>
      </c>
      <c r="G103">
        <v>4067</v>
      </c>
      <c r="H103">
        <v>5279</v>
      </c>
      <c r="I103">
        <v>6579</v>
      </c>
      <c r="J103">
        <v>8922</v>
      </c>
      <c r="K103">
        <v>9155</v>
      </c>
      <c r="L103">
        <v>9739</v>
      </c>
      <c r="M103">
        <v>13208</v>
      </c>
      <c r="N103">
        <v>15335</v>
      </c>
      <c r="O103">
        <v>1175</v>
      </c>
      <c r="P103">
        <v>1475</v>
      </c>
      <c r="Q103">
        <v>1827</v>
      </c>
      <c r="R103">
        <v>2258</v>
      </c>
      <c r="S103">
        <v>2226</v>
      </c>
      <c r="T103">
        <v>2319</v>
      </c>
      <c r="U103">
        <v>2329</v>
      </c>
      <c r="V103">
        <v>2500</v>
      </c>
      <c r="W103">
        <v>2561</v>
      </c>
      <c r="X103">
        <v>2742</v>
      </c>
      <c r="Y103">
        <v>2839</v>
      </c>
      <c r="Z103">
        <v>2971</v>
      </c>
      <c r="AA103">
        <v>2926</v>
      </c>
      <c r="AB103">
        <v>3261</v>
      </c>
      <c r="AC103">
        <v>3944</v>
      </c>
      <c r="AD103">
        <v>5351</v>
      </c>
      <c r="AE103">
        <v>6293</v>
      </c>
      <c r="AF103">
        <v>7598</v>
      </c>
      <c r="AG103">
        <v>8908</v>
      </c>
      <c r="AH103">
        <v>11422</v>
      </c>
      <c r="AI103">
        <v>11716</v>
      </c>
      <c r="AJ103">
        <v>12481</v>
      </c>
      <c r="AK103">
        <v>16047</v>
      </c>
      <c r="AL103">
        <v>18306</v>
      </c>
    </row>
    <row r="104" spans="1:38">
      <c r="B104" t="s">
        <v>7</v>
      </c>
      <c r="C104">
        <v>3077</v>
      </c>
      <c r="D104">
        <v>4330</v>
      </c>
      <c r="E104">
        <v>5765</v>
      </c>
      <c r="F104">
        <v>7754</v>
      </c>
      <c r="G104">
        <v>8144</v>
      </c>
      <c r="H104">
        <v>8912</v>
      </c>
      <c r="I104">
        <v>9671</v>
      </c>
      <c r="J104">
        <v>11192</v>
      </c>
      <c r="K104">
        <v>13212</v>
      </c>
      <c r="L104">
        <v>15492</v>
      </c>
      <c r="M104">
        <v>15853</v>
      </c>
      <c r="N104">
        <v>17860</v>
      </c>
      <c r="O104">
        <v>239</v>
      </c>
      <c r="P104">
        <v>276</v>
      </c>
      <c r="Q104">
        <v>314</v>
      </c>
      <c r="R104">
        <v>367</v>
      </c>
      <c r="S104">
        <v>305</v>
      </c>
      <c r="T104">
        <v>309</v>
      </c>
      <c r="U104">
        <v>284</v>
      </c>
      <c r="V104">
        <v>260</v>
      </c>
      <c r="W104">
        <v>307</v>
      </c>
      <c r="X104">
        <v>275</v>
      </c>
      <c r="Y104">
        <v>210</v>
      </c>
      <c r="Z104">
        <v>219</v>
      </c>
      <c r="AA104">
        <v>3316</v>
      </c>
      <c r="AB104">
        <v>4606</v>
      </c>
      <c r="AC104">
        <v>6079</v>
      </c>
      <c r="AD104">
        <v>8121</v>
      </c>
      <c r="AE104">
        <v>8449</v>
      </c>
      <c r="AF104">
        <v>9221</v>
      </c>
      <c r="AG104">
        <v>9955</v>
      </c>
      <c r="AH104">
        <v>11452</v>
      </c>
      <c r="AI104">
        <v>13519</v>
      </c>
      <c r="AJ104">
        <v>15767</v>
      </c>
      <c r="AK104">
        <v>16063</v>
      </c>
      <c r="AL104">
        <v>18079</v>
      </c>
    </row>
    <row r="105" spans="1:38">
      <c r="B105" t="s">
        <v>8</v>
      </c>
      <c r="C105">
        <v>1616</v>
      </c>
      <c r="D105">
        <v>2084</v>
      </c>
      <c r="E105">
        <v>2300</v>
      </c>
      <c r="F105">
        <v>2201</v>
      </c>
      <c r="G105">
        <v>1382</v>
      </c>
      <c r="H105">
        <v>1240</v>
      </c>
      <c r="I105">
        <v>1077</v>
      </c>
      <c r="J105">
        <v>985</v>
      </c>
      <c r="K105">
        <v>1007</v>
      </c>
      <c r="L105">
        <v>1046</v>
      </c>
      <c r="M105">
        <v>816</v>
      </c>
      <c r="N105">
        <v>797</v>
      </c>
      <c r="O105">
        <v>77</v>
      </c>
      <c r="P105">
        <v>64</v>
      </c>
      <c r="Q105">
        <v>63</v>
      </c>
      <c r="R105">
        <v>52</v>
      </c>
      <c r="S105">
        <v>39</v>
      </c>
      <c r="T105">
        <v>32</v>
      </c>
      <c r="U105">
        <v>17</v>
      </c>
      <c r="V105">
        <v>17</v>
      </c>
      <c r="W105">
        <v>12</v>
      </c>
      <c r="X105">
        <v>13</v>
      </c>
      <c r="Y105">
        <v>3</v>
      </c>
      <c r="Z105">
        <v>4</v>
      </c>
      <c r="AA105">
        <v>1693</v>
      </c>
      <c r="AB105">
        <v>2148</v>
      </c>
      <c r="AC105">
        <v>2363</v>
      </c>
      <c r="AD105">
        <v>2253</v>
      </c>
      <c r="AE105">
        <v>1421</v>
      </c>
      <c r="AF105">
        <v>1272</v>
      </c>
      <c r="AG105">
        <v>1094</v>
      </c>
      <c r="AH105">
        <v>1002</v>
      </c>
      <c r="AI105">
        <v>1019</v>
      </c>
      <c r="AJ105">
        <v>1059</v>
      </c>
      <c r="AK105">
        <v>819</v>
      </c>
      <c r="AL105">
        <v>801</v>
      </c>
    </row>
    <row r="106" spans="1:38">
      <c r="B106" t="s">
        <v>9</v>
      </c>
      <c r="C106">
        <v>465</v>
      </c>
      <c r="D106">
        <v>568</v>
      </c>
      <c r="E106">
        <v>605</v>
      </c>
      <c r="F106">
        <v>507</v>
      </c>
      <c r="G106">
        <v>340</v>
      </c>
      <c r="H106">
        <v>309</v>
      </c>
      <c r="I106">
        <v>245</v>
      </c>
      <c r="J106">
        <v>174</v>
      </c>
      <c r="K106">
        <v>163</v>
      </c>
      <c r="L106">
        <v>171</v>
      </c>
      <c r="M106">
        <v>137</v>
      </c>
      <c r="N106">
        <v>108</v>
      </c>
      <c r="O106">
        <v>9</v>
      </c>
      <c r="P106">
        <v>9</v>
      </c>
      <c r="Q106">
        <v>12</v>
      </c>
      <c r="R106">
        <v>11</v>
      </c>
      <c r="S106">
        <v>8</v>
      </c>
      <c r="T106">
        <v>7</v>
      </c>
      <c r="U106">
        <v>4</v>
      </c>
      <c r="V106">
        <v>2</v>
      </c>
      <c r="W106">
        <v>3</v>
      </c>
      <c r="X106">
        <v>2</v>
      </c>
      <c r="Y106">
        <v>1</v>
      </c>
      <c r="Z106">
        <v>0</v>
      </c>
      <c r="AA106">
        <v>474</v>
      </c>
      <c r="AB106">
        <v>577</v>
      </c>
      <c r="AC106">
        <v>617</v>
      </c>
      <c r="AD106">
        <v>518</v>
      </c>
      <c r="AE106">
        <v>348</v>
      </c>
      <c r="AF106">
        <v>316</v>
      </c>
      <c r="AG106">
        <v>249</v>
      </c>
      <c r="AH106">
        <v>176</v>
      </c>
      <c r="AI106">
        <v>166</v>
      </c>
      <c r="AJ106">
        <v>173</v>
      </c>
      <c r="AK106">
        <v>138</v>
      </c>
      <c r="AL106">
        <v>108</v>
      </c>
    </row>
    <row r="107" spans="1:38">
      <c r="B107" t="s">
        <v>10</v>
      </c>
      <c r="C107">
        <v>200</v>
      </c>
      <c r="D107">
        <v>231</v>
      </c>
      <c r="E107">
        <v>214</v>
      </c>
      <c r="F107">
        <v>159</v>
      </c>
      <c r="G107">
        <v>109</v>
      </c>
      <c r="H107">
        <v>97</v>
      </c>
      <c r="I107">
        <v>76</v>
      </c>
      <c r="J107">
        <v>62</v>
      </c>
      <c r="K107">
        <v>64</v>
      </c>
      <c r="L107">
        <v>51</v>
      </c>
      <c r="M107">
        <v>37</v>
      </c>
      <c r="N107">
        <v>33</v>
      </c>
      <c r="O107">
        <v>3</v>
      </c>
      <c r="P107">
        <v>5</v>
      </c>
      <c r="Q107">
        <v>5</v>
      </c>
      <c r="R107">
        <v>5</v>
      </c>
      <c r="S107">
        <v>2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203</v>
      </c>
      <c r="AB107">
        <v>236</v>
      </c>
      <c r="AC107">
        <v>219</v>
      </c>
      <c r="AD107">
        <v>164</v>
      </c>
      <c r="AE107">
        <v>111</v>
      </c>
      <c r="AF107">
        <v>97</v>
      </c>
      <c r="AG107">
        <v>76</v>
      </c>
      <c r="AH107">
        <v>62</v>
      </c>
      <c r="AI107">
        <v>64</v>
      </c>
      <c r="AJ107">
        <v>51</v>
      </c>
      <c r="AK107">
        <v>37</v>
      </c>
      <c r="AL107">
        <v>33</v>
      </c>
    </row>
    <row r="108" spans="1:38">
      <c r="B108" t="s">
        <v>11</v>
      </c>
      <c r="C108">
        <v>88</v>
      </c>
      <c r="D108">
        <v>95</v>
      </c>
      <c r="E108">
        <v>86</v>
      </c>
      <c r="F108">
        <v>69</v>
      </c>
      <c r="G108">
        <v>49</v>
      </c>
      <c r="H108">
        <v>34</v>
      </c>
      <c r="I108">
        <v>24</v>
      </c>
      <c r="J108">
        <v>12</v>
      </c>
      <c r="K108">
        <v>9</v>
      </c>
      <c r="L108">
        <v>7</v>
      </c>
      <c r="M108">
        <v>7</v>
      </c>
      <c r="N108">
        <v>6</v>
      </c>
      <c r="O108">
        <v>2</v>
      </c>
      <c r="P108">
        <v>1</v>
      </c>
      <c r="Q108">
        <v>1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90</v>
      </c>
      <c r="AB108">
        <v>96</v>
      </c>
      <c r="AC108">
        <v>87</v>
      </c>
      <c r="AD108">
        <v>69</v>
      </c>
      <c r="AE108">
        <v>49</v>
      </c>
      <c r="AF108">
        <v>34</v>
      </c>
      <c r="AG108">
        <v>24</v>
      </c>
      <c r="AH108">
        <v>12</v>
      </c>
      <c r="AI108">
        <v>9</v>
      </c>
      <c r="AJ108">
        <v>7</v>
      </c>
      <c r="AK108">
        <v>7</v>
      </c>
      <c r="AL108">
        <v>6</v>
      </c>
    </row>
    <row r="109" spans="1:38">
      <c r="B109" t="s">
        <v>12</v>
      </c>
      <c r="C109">
        <v>58</v>
      </c>
      <c r="D109">
        <v>55</v>
      </c>
      <c r="E109">
        <v>49</v>
      </c>
      <c r="F109">
        <v>29</v>
      </c>
      <c r="G109">
        <v>14</v>
      </c>
      <c r="H109">
        <v>5</v>
      </c>
      <c r="I109">
        <v>5</v>
      </c>
      <c r="J109">
        <v>3</v>
      </c>
      <c r="K109">
        <v>1</v>
      </c>
      <c r="L109">
        <v>2</v>
      </c>
      <c r="M109">
        <v>2</v>
      </c>
      <c r="N109">
        <v>1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58</v>
      </c>
      <c r="AB109">
        <v>55</v>
      </c>
      <c r="AC109">
        <v>49</v>
      </c>
      <c r="AD109">
        <v>29</v>
      </c>
      <c r="AE109">
        <v>14</v>
      </c>
      <c r="AF109">
        <v>5</v>
      </c>
      <c r="AG109">
        <v>5</v>
      </c>
      <c r="AH109">
        <v>3</v>
      </c>
      <c r="AI109">
        <v>1</v>
      </c>
      <c r="AJ109">
        <v>2</v>
      </c>
      <c r="AK109">
        <v>2</v>
      </c>
      <c r="AL109">
        <v>1</v>
      </c>
    </row>
    <row r="110" spans="1:38">
      <c r="B110" t="s">
        <v>13</v>
      </c>
      <c r="C110">
        <v>16</v>
      </c>
      <c r="D110">
        <v>19</v>
      </c>
      <c r="E110">
        <v>13</v>
      </c>
      <c r="F110">
        <v>8</v>
      </c>
      <c r="G110">
        <v>1</v>
      </c>
      <c r="H110">
        <v>0</v>
      </c>
      <c r="I110">
        <v>2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16</v>
      </c>
      <c r="AB110">
        <v>19</v>
      </c>
      <c r="AC110">
        <v>13</v>
      </c>
      <c r="AD110">
        <v>8</v>
      </c>
      <c r="AE110">
        <v>1</v>
      </c>
      <c r="AF110">
        <v>0</v>
      </c>
      <c r="AG110">
        <v>2</v>
      </c>
      <c r="AH110">
        <v>0</v>
      </c>
      <c r="AI110">
        <v>0</v>
      </c>
      <c r="AJ110">
        <v>0</v>
      </c>
      <c r="AK110">
        <v>0</v>
      </c>
      <c r="AL110">
        <v>0</v>
      </c>
    </row>
    <row r="111" spans="1:38">
      <c r="B111" t="s">
        <v>14</v>
      </c>
      <c r="C111">
        <v>0</v>
      </c>
      <c r="D111">
        <v>0</v>
      </c>
      <c r="E111">
        <v>1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1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</row>
    <row r="112" spans="1:38">
      <c r="A112" t="s">
        <v>85</v>
      </c>
      <c r="B112" t="s">
        <v>3</v>
      </c>
      <c r="C112">
        <v>4343</v>
      </c>
      <c r="D112">
        <v>5284</v>
      </c>
      <c r="E112">
        <v>6226</v>
      </c>
      <c r="F112">
        <v>7540</v>
      </c>
      <c r="G112">
        <v>9268</v>
      </c>
      <c r="H112">
        <v>11446</v>
      </c>
      <c r="I112">
        <v>14543</v>
      </c>
      <c r="J112">
        <v>17252</v>
      </c>
      <c r="K112">
        <v>20304</v>
      </c>
      <c r="L112">
        <v>24533</v>
      </c>
      <c r="M112">
        <v>29717</v>
      </c>
      <c r="N112">
        <v>35760</v>
      </c>
      <c r="O112">
        <v>1697</v>
      </c>
      <c r="P112">
        <v>2296</v>
      </c>
      <c r="Q112">
        <v>2955</v>
      </c>
      <c r="R112">
        <v>3848</v>
      </c>
      <c r="S112">
        <v>5304</v>
      </c>
      <c r="T112">
        <v>6308</v>
      </c>
      <c r="U112">
        <v>7368</v>
      </c>
      <c r="V112">
        <v>8264</v>
      </c>
      <c r="W112">
        <v>9094</v>
      </c>
      <c r="X112">
        <v>10004</v>
      </c>
      <c r="Y112">
        <v>10880</v>
      </c>
      <c r="Z112">
        <v>11888</v>
      </c>
      <c r="AA112">
        <v>6040</v>
      </c>
      <c r="AB112">
        <v>7580</v>
      </c>
      <c r="AC112">
        <v>9181</v>
      </c>
      <c r="AD112">
        <v>11388</v>
      </c>
      <c r="AE112">
        <v>14572</v>
      </c>
      <c r="AF112">
        <v>17754</v>
      </c>
      <c r="AG112">
        <v>21911</v>
      </c>
      <c r="AH112">
        <v>25516</v>
      </c>
      <c r="AI112">
        <v>29398</v>
      </c>
      <c r="AJ112">
        <v>34537</v>
      </c>
      <c r="AK112">
        <v>40597</v>
      </c>
      <c r="AL112">
        <v>47648</v>
      </c>
    </row>
    <row r="113" spans="1:38">
      <c r="B113" t="s">
        <v>5</v>
      </c>
      <c r="C113">
        <v>2165</v>
      </c>
      <c r="D113">
        <v>2584</v>
      </c>
      <c r="E113">
        <v>3144</v>
      </c>
      <c r="F113">
        <v>4100</v>
      </c>
      <c r="G113">
        <v>5580</v>
      </c>
      <c r="H113">
        <v>7154</v>
      </c>
      <c r="I113">
        <v>9350</v>
      </c>
      <c r="J113">
        <v>11553</v>
      </c>
      <c r="K113">
        <v>13867</v>
      </c>
      <c r="L113">
        <v>17014</v>
      </c>
      <c r="M113">
        <v>21894</v>
      </c>
      <c r="N113">
        <v>26701</v>
      </c>
      <c r="O113">
        <v>1657</v>
      </c>
      <c r="P113">
        <v>2246</v>
      </c>
      <c r="Q113">
        <v>2906</v>
      </c>
      <c r="R113">
        <v>3799</v>
      </c>
      <c r="S113">
        <v>5262</v>
      </c>
      <c r="T113">
        <v>6265</v>
      </c>
      <c r="U113">
        <v>7336</v>
      </c>
      <c r="V113">
        <v>8240</v>
      </c>
      <c r="W113">
        <v>9072</v>
      </c>
      <c r="X113">
        <v>9983</v>
      </c>
      <c r="Y113">
        <v>10859</v>
      </c>
      <c r="Z113">
        <v>11865</v>
      </c>
      <c r="AA113">
        <v>3822</v>
      </c>
      <c r="AB113">
        <v>4830</v>
      </c>
      <c r="AC113">
        <v>6050</v>
      </c>
      <c r="AD113">
        <v>7899</v>
      </c>
      <c r="AE113">
        <v>10842</v>
      </c>
      <c r="AF113">
        <v>13419</v>
      </c>
      <c r="AG113">
        <v>16686</v>
      </c>
      <c r="AH113">
        <v>19793</v>
      </c>
      <c r="AI113">
        <v>22939</v>
      </c>
      <c r="AJ113">
        <v>26997</v>
      </c>
      <c r="AK113">
        <v>32753</v>
      </c>
      <c r="AL113">
        <v>38566</v>
      </c>
    </row>
    <row r="114" spans="1:38">
      <c r="B114" t="s">
        <v>6</v>
      </c>
      <c r="C114">
        <v>0</v>
      </c>
      <c r="D114">
        <v>1</v>
      </c>
      <c r="E114">
        <v>3</v>
      </c>
      <c r="F114">
        <v>0</v>
      </c>
      <c r="G114">
        <v>0</v>
      </c>
      <c r="H114">
        <v>0</v>
      </c>
      <c r="I114">
        <v>2</v>
      </c>
      <c r="J114">
        <v>2</v>
      </c>
      <c r="K114">
        <v>3</v>
      </c>
      <c r="L114">
        <v>5</v>
      </c>
      <c r="M114">
        <v>14</v>
      </c>
      <c r="N114">
        <v>12</v>
      </c>
      <c r="O114">
        <v>6</v>
      </c>
      <c r="P114">
        <v>6</v>
      </c>
      <c r="Q114">
        <v>7</v>
      </c>
      <c r="R114">
        <v>6</v>
      </c>
      <c r="S114">
        <v>8</v>
      </c>
      <c r="T114">
        <v>11</v>
      </c>
      <c r="U114">
        <v>3</v>
      </c>
      <c r="V114">
        <v>3</v>
      </c>
      <c r="W114">
        <v>3</v>
      </c>
      <c r="X114">
        <v>3</v>
      </c>
      <c r="Y114">
        <v>4</v>
      </c>
      <c r="Z114">
        <v>5</v>
      </c>
      <c r="AA114">
        <v>6</v>
      </c>
      <c r="AB114">
        <v>7</v>
      </c>
      <c r="AC114">
        <v>10</v>
      </c>
      <c r="AD114">
        <v>6</v>
      </c>
      <c r="AE114">
        <v>8</v>
      </c>
      <c r="AF114">
        <v>11</v>
      </c>
      <c r="AG114">
        <v>5</v>
      </c>
      <c r="AH114">
        <v>5</v>
      </c>
      <c r="AI114">
        <v>6</v>
      </c>
      <c r="AJ114">
        <v>8</v>
      </c>
      <c r="AK114">
        <v>18</v>
      </c>
      <c r="AL114">
        <v>17</v>
      </c>
    </row>
    <row r="115" spans="1:38">
      <c r="B115" t="s">
        <v>7</v>
      </c>
      <c r="C115">
        <v>1402</v>
      </c>
      <c r="D115">
        <v>1741</v>
      </c>
      <c r="E115">
        <v>1981</v>
      </c>
      <c r="F115">
        <v>2332</v>
      </c>
      <c r="G115">
        <v>2611</v>
      </c>
      <c r="H115">
        <v>3082</v>
      </c>
      <c r="I115">
        <v>3761</v>
      </c>
      <c r="J115">
        <v>4170</v>
      </c>
      <c r="K115">
        <v>4809</v>
      </c>
      <c r="L115">
        <v>5679</v>
      </c>
      <c r="M115">
        <v>6189</v>
      </c>
      <c r="N115">
        <v>7347</v>
      </c>
      <c r="O115">
        <v>27</v>
      </c>
      <c r="P115">
        <v>36</v>
      </c>
      <c r="Q115">
        <v>36</v>
      </c>
      <c r="R115">
        <v>38</v>
      </c>
      <c r="S115">
        <v>31</v>
      </c>
      <c r="T115">
        <v>29</v>
      </c>
      <c r="U115">
        <v>27</v>
      </c>
      <c r="V115">
        <v>19</v>
      </c>
      <c r="W115">
        <v>18</v>
      </c>
      <c r="X115">
        <v>17</v>
      </c>
      <c r="Y115">
        <v>16</v>
      </c>
      <c r="Z115">
        <v>17</v>
      </c>
      <c r="AA115">
        <v>1429</v>
      </c>
      <c r="AB115">
        <v>1777</v>
      </c>
      <c r="AC115">
        <v>2017</v>
      </c>
      <c r="AD115">
        <v>2370</v>
      </c>
      <c r="AE115">
        <v>2642</v>
      </c>
      <c r="AF115">
        <v>3111</v>
      </c>
      <c r="AG115">
        <v>3788</v>
      </c>
      <c r="AH115">
        <v>4189</v>
      </c>
      <c r="AI115">
        <v>4827</v>
      </c>
      <c r="AJ115">
        <v>5696</v>
      </c>
      <c r="AK115">
        <v>6205</v>
      </c>
      <c r="AL115">
        <v>7364</v>
      </c>
    </row>
    <row r="116" spans="1:38">
      <c r="B116" t="s">
        <v>8</v>
      </c>
      <c r="C116">
        <v>501</v>
      </c>
      <c r="D116">
        <v>608</v>
      </c>
      <c r="E116">
        <v>718</v>
      </c>
      <c r="F116">
        <v>824</v>
      </c>
      <c r="G116">
        <v>868</v>
      </c>
      <c r="H116">
        <v>1044</v>
      </c>
      <c r="I116">
        <v>1266</v>
      </c>
      <c r="J116">
        <v>1458</v>
      </c>
      <c r="K116">
        <v>1577</v>
      </c>
      <c r="L116">
        <v>1778</v>
      </c>
      <c r="M116">
        <v>1604</v>
      </c>
      <c r="N116">
        <v>1686</v>
      </c>
      <c r="O116">
        <v>6</v>
      </c>
      <c r="P116">
        <v>7</v>
      </c>
      <c r="Q116">
        <v>5</v>
      </c>
      <c r="R116">
        <v>5</v>
      </c>
      <c r="S116">
        <v>3</v>
      </c>
      <c r="T116">
        <v>3</v>
      </c>
      <c r="U116">
        <v>2</v>
      </c>
      <c r="V116">
        <v>2</v>
      </c>
      <c r="W116">
        <v>1</v>
      </c>
      <c r="X116">
        <v>1</v>
      </c>
      <c r="Y116">
        <v>1</v>
      </c>
      <c r="Z116">
        <v>1</v>
      </c>
      <c r="AA116">
        <v>507</v>
      </c>
      <c r="AB116">
        <v>615</v>
      </c>
      <c r="AC116">
        <v>723</v>
      </c>
      <c r="AD116">
        <v>829</v>
      </c>
      <c r="AE116">
        <v>871</v>
      </c>
      <c r="AF116">
        <v>1047</v>
      </c>
      <c r="AG116">
        <v>1268</v>
      </c>
      <c r="AH116">
        <v>1460</v>
      </c>
      <c r="AI116">
        <v>1578</v>
      </c>
      <c r="AJ116">
        <v>1779</v>
      </c>
      <c r="AK116">
        <v>1605</v>
      </c>
      <c r="AL116">
        <v>1687</v>
      </c>
    </row>
    <row r="117" spans="1:38">
      <c r="B117" t="s">
        <v>9</v>
      </c>
      <c r="C117">
        <v>265</v>
      </c>
      <c r="D117">
        <v>333</v>
      </c>
      <c r="E117">
        <v>368</v>
      </c>
      <c r="F117">
        <v>283</v>
      </c>
      <c r="G117">
        <v>208</v>
      </c>
      <c r="H117">
        <v>165</v>
      </c>
      <c r="I117">
        <v>163</v>
      </c>
      <c r="J117">
        <v>68</v>
      </c>
      <c r="K117">
        <v>46</v>
      </c>
      <c r="L117">
        <v>55</v>
      </c>
      <c r="M117">
        <v>15</v>
      </c>
      <c r="N117">
        <v>8</v>
      </c>
      <c r="O117">
        <v>1</v>
      </c>
      <c r="P117">
        <v>1</v>
      </c>
      <c r="Q117">
        <v>1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266</v>
      </c>
      <c r="AB117">
        <v>334</v>
      </c>
      <c r="AC117">
        <v>369</v>
      </c>
      <c r="AD117">
        <v>283</v>
      </c>
      <c r="AE117">
        <v>208</v>
      </c>
      <c r="AF117">
        <v>165</v>
      </c>
      <c r="AG117">
        <v>163</v>
      </c>
      <c r="AH117">
        <v>68</v>
      </c>
      <c r="AI117">
        <v>46</v>
      </c>
      <c r="AJ117">
        <v>55</v>
      </c>
      <c r="AK117">
        <v>15</v>
      </c>
      <c r="AL117">
        <v>8</v>
      </c>
    </row>
    <row r="118" spans="1:38">
      <c r="B118" t="s">
        <v>10</v>
      </c>
      <c r="C118">
        <v>9</v>
      </c>
      <c r="D118">
        <v>17</v>
      </c>
      <c r="E118">
        <v>12</v>
      </c>
      <c r="F118">
        <v>1</v>
      </c>
      <c r="G118">
        <v>0</v>
      </c>
      <c r="H118">
        <v>0</v>
      </c>
      <c r="I118">
        <v>0</v>
      </c>
      <c r="J118">
        <v>1</v>
      </c>
      <c r="K118">
        <v>2</v>
      </c>
      <c r="L118">
        <v>2</v>
      </c>
      <c r="M118">
        <v>1</v>
      </c>
      <c r="N118">
        <v>3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9</v>
      </c>
      <c r="AB118">
        <v>17</v>
      </c>
      <c r="AC118">
        <v>12</v>
      </c>
      <c r="AD118">
        <v>1</v>
      </c>
      <c r="AE118">
        <v>0</v>
      </c>
      <c r="AF118">
        <v>0</v>
      </c>
      <c r="AG118">
        <v>0</v>
      </c>
      <c r="AH118">
        <v>1</v>
      </c>
      <c r="AI118">
        <v>2</v>
      </c>
      <c r="AJ118">
        <v>2</v>
      </c>
      <c r="AK118">
        <v>1</v>
      </c>
      <c r="AL118">
        <v>3</v>
      </c>
    </row>
    <row r="119" spans="1:38">
      <c r="B119" t="s">
        <v>11</v>
      </c>
      <c r="C119">
        <v>1</v>
      </c>
      <c r="D119">
        <v>0</v>
      </c>
      <c r="E119">
        <v>0</v>
      </c>
      <c r="F119">
        <v>0</v>
      </c>
      <c r="G119">
        <v>1</v>
      </c>
      <c r="H119">
        <v>1</v>
      </c>
      <c r="I119">
        <v>1</v>
      </c>
      <c r="J119">
        <v>0</v>
      </c>
      <c r="K119">
        <v>0</v>
      </c>
      <c r="L119">
        <v>0</v>
      </c>
      <c r="M119">
        <v>0</v>
      </c>
      <c r="N119">
        <v>3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1</v>
      </c>
      <c r="AB119">
        <v>0</v>
      </c>
      <c r="AC119">
        <v>0</v>
      </c>
      <c r="AD119">
        <v>0</v>
      </c>
      <c r="AE119">
        <v>1</v>
      </c>
      <c r="AF119">
        <v>1</v>
      </c>
      <c r="AG119">
        <v>1</v>
      </c>
      <c r="AH119">
        <v>0</v>
      </c>
      <c r="AI119">
        <v>0</v>
      </c>
      <c r="AJ119">
        <v>0</v>
      </c>
      <c r="AK119">
        <v>0</v>
      </c>
      <c r="AL119">
        <v>3</v>
      </c>
    </row>
    <row r="120" spans="1:38">
      <c r="A120" t="s">
        <v>74</v>
      </c>
      <c r="B120" t="s">
        <v>3</v>
      </c>
      <c r="C120">
        <v>117159</v>
      </c>
      <c r="D120">
        <v>39260</v>
      </c>
      <c r="E120">
        <v>31325</v>
      </c>
      <c r="F120">
        <v>24940</v>
      </c>
      <c r="G120">
        <v>26110</v>
      </c>
      <c r="H120">
        <v>31156</v>
      </c>
      <c r="I120">
        <v>38488</v>
      </c>
      <c r="J120">
        <v>53410</v>
      </c>
      <c r="K120">
        <v>56213</v>
      </c>
      <c r="L120">
        <v>59993</v>
      </c>
      <c r="M120">
        <v>68861</v>
      </c>
      <c r="N120">
        <v>76546</v>
      </c>
      <c r="O120">
        <v>24560</v>
      </c>
      <c r="P120">
        <v>20248</v>
      </c>
      <c r="Q120">
        <v>19249</v>
      </c>
      <c r="R120">
        <v>15608</v>
      </c>
      <c r="S120">
        <v>14891</v>
      </c>
      <c r="T120">
        <v>13564</v>
      </c>
      <c r="U120">
        <v>16064</v>
      </c>
      <c r="V120">
        <v>17756</v>
      </c>
      <c r="W120">
        <v>16550</v>
      </c>
      <c r="X120">
        <v>14016</v>
      </c>
      <c r="Y120">
        <v>13855</v>
      </c>
      <c r="Z120">
        <v>14902</v>
      </c>
      <c r="AA120">
        <v>141719</v>
      </c>
      <c r="AB120">
        <v>59508</v>
      </c>
      <c r="AC120">
        <v>50574</v>
      </c>
      <c r="AD120">
        <v>40548</v>
      </c>
      <c r="AE120">
        <v>41001</v>
      </c>
      <c r="AF120">
        <v>44720</v>
      </c>
      <c r="AG120">
        <v>54552</v>
      </c>
      <c r="AH120">
        <v>71166</v>
      </c>
      <c r="AI120">
        <v>72763</v>
      </c>
      <c r="AJ120">
        <v>74009</v>
      </c>
      <c r="AK120">
        <v>82716</v>
      </c>
      <c r="AL120">
        <v>91448</v>
      </c>
    </row>
    <row r="121" spans="1:38">
      <c r="B121" t="s">
        <v>5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1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1</v>
      </c>
    </row>
    <row r="122" spans="1:38">
      <c r="B122" t="s">
        <v>6</v>
      </c>
      <c r="C122">
        <v>21435</v>
      </c>
      <c r="D122">
        <v>17977</v>
      </c>
      <c r="E122">
        <v>18936</v>
      </c>
      <c r="F122">
        <v>16314</v>
      </c>
      <c r="G122">
        <v>17341</v>
      </c>
      <c r="H122">
        <v>19175</v>
      </c>
      <c r="I122">
        <v>22838</v>
      </c>
      <c r="J122">
        <v>33253</v>
      </c>
      <c r="K122">
        <v>35010</v>
      </c>
      <c r="L122">
        <v>31076</v>
      </c>
      <c r="M122">
        <v>43200</v>
      </c>
      <c r="N122">
        <v>58751</v>
      </c>
      <c r="O122">
        <v>24239</v>
      </c>
      <c r="P122">
        <v>20212</v>
      </c>
      <c r="Q122">
        <v>19226</v>
      </c>
      <c r="R122">
        <v>15607</v>
      </c>
      <c r="S122">
        <v>14891</v>
      </c>
      <c r="T122">
        <v>13545</v>
      </c>
      <c r="U122">
        <v>16034</v>
      </c>
      <c r="V122">
        <v>17696</v>
      </c>
      <c r="W122">
        <v>16508</v>
      </c>
      <c r="X122">
        <v>13959</v>
      </c>
      <c r="Y122">
        <v>13805</v>
      </c>
      <c r="Z122">
        <v>14894</v>
      </c>
      <c r="AA122">
        <v>45674</v>
      </c>
      <c r="AB122">
        <v>38189</v>
      </c>
      <c r="AC122">
        <v>38162</v>
      </c>
      <c r="AD122">
        <v>31921</v>
      </c>
      <c r="AE122">
        <v>32232</v>
      </c>
      <c r="AF122">
        <v>32720</v>
      </c>
      <c r="AG122">
        <v>38872</v>
      </c>
      <c r="AH122">
        <v>50949</v>
      </c>
      <c r="AI122">
        <v>51518</v>
      </c>
      <c r="AJ122">
        <v>45035</v>
      </c>
      <c r="AK122">
        <v>57005</v>
      </c>
      <c r="AL122">
        <v>73645</v>
      </c>
    </row>
    <row r="123" spans="1:38">
      <c r="B123" t="s">
        <v>7</v>
      </c>
      <c r="C123">
        <v>54211</v>
      </c>
      <c r="D123">
        <v>14029</v>
      </c>
      <c r="E123">
        <v>9645</v>
      </c>
      <c r="F123">
        <v>6572</v>
      </c>
      <c r="G123">
        <v>6900</v>
      </c>
      <c r="H123">
        <v>9396</v>
      </c>
      <c r="I123">
        <v>12557</v>
      </c>
      <c r="J123">
        <v>16017</v>
      </c>
      <c r="K123">
        <v>16949</v>
      </c>
      <c r="L123">
        <v>24159</v>
      </c>
      <c r="M123">
        <v>20825</v>
      </c>
      <c r="N123">
        <v>14085</v>
      </c>
      <c r="O123">
        <v>311</v>
      </c>
      <c r="P123">
        <v>32</v>
      </c>
      <c r="Q123">
        <v>23</v>
      </c>
      <c r="R123">
        <v>1</v>
      </c>
      <c r="S123">
        <v>0</v>
      </c>
      <c r="T123">
        <v>19</v>
      </c>
      <c r="U123">
        <v>27</v>
      </c>
      <c r="V123">
        <v>58</v>
      </c>
      <c r="W123">
        <v>40</v>
      </c>
      <c r="X123">
        <v>55</v>
      </c>
      <c r="Y123">
        <v>49</v>
      </c>
      <c r="Z123">
        <v>8</v>
      </c>
      <c r="AA123">
        <v>54522</v>
      </c>
      <c r="AB123">
        <v>14061</v>
      </c>
      <c r="AC123">
        <v>9668</v>
      </c>
      <c r="AD123">
        <v>6573</v>
      </c>
      <c r="AE123">
        <v>6900</v>
      </c>
      <c r="AF123">
        <v>9415</v>
      </c>
      <c r="AG123">
        <v>12584</v>
      </c>
      <c r="AH123">
        <v>16075</v>
      </c>
      <c r="AI123">
        <v>16989</v>
      </c>
      <c r="AJ123">
        <v>24214</v>
      </c>
      <c r="AK123">
        <v>20874</v>
      </c>
      <c r="AL123">
        <v>14093</v>
      </c>
    </row>
    <row r="124" spans="1:38">
      <c r="B124" t="s">
        <v>8</v>
      </c>
      <c r="C124">
        <v>19901</v>
      </c>
      <c r="D124">
        <v>3453</v>
      </c>
      <c r="E124">
        <v>1463</v>
      </c>
      <c r="F124">
        <v>946</v>
      </c>
      <c r="G124">
        <v>914</v>
      </c>
      <c r="H124">
        <v>1273</v>
      </c>
      <c r="I124">
        <v>1603</v>
      </c>
      <c r="J124">
        <v>2120</v>
      </c>
      <c r="K124">
        <v>2224</v>
      </c>
      <c r="L124">
        <v>2708</v>
      </c>
      <c r="M124">
        <v>2665</v>
      </c>
      <c r="N124">
        <v>1925</v>
      </c>
      <c r="O124">
        <v>9</v>
      </c>
      <c r="P124">
        <v>3</v>
      </c>
      <c r="Q124">
        <v>0</v>
      </c>
      <c r="R124">
        <v>0</v>
      </c>
      <c r="S124">
        <v>0</v>
      </c>
      <c r="T124">
        <v>0</v>
      </c>
      <c r="U124">
        <v>3</v>
      </c>
      <c r="V124">
        <v>2</v>
      </c>
      <c r="W124">
        <v>2</v>
      </c>
      <c r="X124">
        <v>2</v>
      </c>
      <c r="Y124">
        <v>1</v>
      </c>
      <c r="Z124">
        <v>0</v>
      </c>
      <c r="AA124">
        <v>19910</v>
      </c>
      <c r="AB124">
        <v>3456</v>
      </c>
      <c r="AC124">
        <v>1463</v>
      </c>
      <c r="AD124">
        <v>946</v>
      </c>
      <c r="AE124">
        <v>914</v>
      </c>
      <c r="AF124">
        <v>1273</v>
      </c>
      <c r="AG124">
        <v>1606</v>
      </c>
      <c r="AH124">
        <v>2122</v>
      </c>
      <c r="AI124">
        <v>2226</v>
      </c>
      <c r="AJ124">
        <v>2710</v>
      </c>
      <c r="AK124">
        <v>2666</v>
      </c>
      <c r="AL124">
        <v>1925</v>
      </c>
    </row>
    <row r="125" spans="1:38">
      <c r="B125" t="s">
        <v>9</v>
      </c>
      <c r="C125">
        <v>7165</v>
      </c>
      <c r="D125">
        <v>1355</v>
      </c>
      <c r="E125">
        <v>486</v>
      </c>
      <c r="F125">
        <v>400</v>
      </c>
      <c r="G125">
        <v>331</v>
      </c>
      <c r="H125">
        <v>509</v>
      </c>
      <c r="I125">
        <v>621</v>
      </c>
      <c r="J125">
        <v>856</v>
      </c>
      <c r="K125">
        <v>850</v>
      </c>
      <c r="L125">
        <v>901</v>
      </c>
      <c r="M125">
        <v>967</v>
      </c>
      <c r="N125">
        <v>792</v>
      </c>
      <c r="O125">
        <v>1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7166</v>
      </c>
      <c r="AB125">
        <v>1355</v>
      </c>
      <c r="AC125">
        <v>486</v>
      </c>
      <c r="AD125">
        <v>400</v>
      </c>
      <c r="AE125">
        <v>331</v>
      </c>
      <c r="AF125">
        <v>509</v>
      </c>
      <c r="AG125">
        <v>621</v>
      </c>
      <c r="AH125">
        <v>856</v>
      </c>
      <c r="AI125">
        <v>850</v>
      </c>
      <c r="AJ125">
        <v>901</v>
      </c>
      <c r="AK125">
        <v>967</v>
      </c>
      <c r="AL125">
        <v>792</v>
      </c>
    </row>
    <row r="126" spans="1:38">
      <c r="B126" t="s">
        <v>10</v>
      </c>
      <c r="C126">
        <v>4054</v>
      </c>
      <c r="D126">
        <v>782</v>
      </c>
      <c r="E126">
        <v>253</v>
      </c>
      <c r="F126">
        <v>221</v>
      </c>
      <c r="G126">
        <v>208</v>
      </c>
      <c r="H126">
        <v>261</v>
      </c>
      <c r="I126">
        <v>280</v>
      </c>
      <c r="J126">
        <v>422</v>
      </c>
      <c r="K126">
        <v>429</v>
      </c>
      <c r="L126">
        <v>431</v>
      </c>
      <c r="M126">
        <v>542</v>
      </c>
      <c r="N126">
        <v>390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4054</v>
      </c>
      <c r="AB126">
        <v>782</v>
      </c>
      <c r="AC126">
        <v>253</v>
      </c>
      <c r="AD126">
        <v>221</v>
      </c>
      <c r="AE126">
        <v>208</v>
      </c>
      <c r="AF126">
        <v>261</v>
      </c>
      <c r="AG126">
        <v>280</v>
      </c>
      <c r="AH126">
        <v>422</v>
      </c>
      <c r="AI126">
        <v>429</v>
      </c>
      <c r="AJ126">
        <v>431</v>
      </c>
      <c r="AK126">
        <v>542</v>
      </c>
      <c r="AL126">
        <v>390</v>
      </c>
    </row>
    <row r="127" spans="1:38">
      <c r="B127" t="s">
        <v>11</v>
      </c>
      <c r="C127">
        <v>2534</v>
      </c>
      <c r="D127">
        <v>442</v>
      </c>
      <c r="E127">
        <v>160</v>
      </c>
      <c r="F127">
        <v>130</v>
      </c>
      <c r="G127">
        <v>126</v>
      </c>
      <c r="H127">
        <v>159</v>
      </c>
      <c r="I127">
        <v>204</v>
      </c>
      <c r="J127">
        <v>273</v>
      </c>
      <c r="K127">
        <v>311</v>
      </c>
      <c r="L127">
        <v>290</v>
      </c>
      <c r="M127">
        <v>315</v>
      </c>
      <c r="N127">
        <v>312</v>
      </c>
      <c r="O127">
        <v>0</v>
      </c>
      <c r="P127">
        <v>1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2534</v>
      </c>
      <c r="AB127">
        <v>443</v>
      </c>
      <c r="AC127">
        <v>160</v>
      </c>
      <c r="AD127">
        <v>130</v>
      </c>
      <c r="AE127">
        <v>126</v>
      </c>
      <c r="AF127">
        <v>159</v>
      </c>
      <c r="AG127">
        <v>204</v>
      </c>
      <c r="AH127">
        <v>273</v>
      </c>
      <c r="AI127">
        <v>311</v>
      </c>
      <c r="AJ127">
        <v>290</v>
      </c>
      <c r="AK127">
        <v>315</v>
      </c>
      <c r="AL127">
        <v>312</v>
      </c>
    </row>
    <row r="128" spans="1:38">
      <c r="B128" t="s">
        <v>12</v>
      </c>
      <c r="C128">
        <v>1713</v>
      </c>
      <c r="D128">
        <v>363</v>
      </c>
      <c r="E128">
        <v>110</v>
      </c>
      <c r="F128">
        <v>95</v>
      </c>
      <c r="G128">
        <v>89</v>
      </c>
      <c r="H128">
        <v>140</v>
      </c>
      <c r="I128">
        <v>168</v>
      </c>
      <c r="J128">
        <v>437</v>
      </c>
      <c r="K128">
        <v>415</v>
      </c>
      <c r="L128">
        <v>401</v>
      </c>
      <c r="M128">
        <v>328</v>
      </c>
      <c r="N128">
        <v>257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1713</v>
      </c>
      <c r="AB128">
        <v>363</v>
      </c>
      <c r="AC128">
        <v>110</v>
      </c>
      <c r="AD128">
        <v>95</v>
      </c>
      <c r="AE128">
        <v>89</v>
      </c>
      <c r="AF128">
        <v>140</v>
      </c>
      <c r="AG128">
        <v>168</v>
      </c>
      <c r="AH128">
        <v>437</v>
      </c>
      <c r="AI128">
        <v>415</v>
      </c>
      <c r="AJ128">
        <v>401</v>
      </c>
      <c r="AK128">
        <v>328</v>
      </c>
      <c r="AL128">
        <v>257</v>
      </c>
    </row>
    <row r="129" spans="1:38">
      <c r="B129" t="s">
        <v>13</v>
      </c>
      <c r="C129">
        <v>1367</v>
      </c>
      <c r="D129">
        <v>190</v>
      </c>
      <c r="E129">
        <v>92</v>
      </c>
      <c r="F129">
        <v>74</v>
      </c>
      <c r="G129">
        <v>184</v>
      </c>
      <c r="H129">
        <v>222</v>
      </c>
      <c r="I129">
        <v>195</v>
      </c>
      <c r="J129">
        <v>5</v>
      </c>
      <c r="K129">
        <v>1</v>
      </c>
      <c r="L129">
        <v>5</v>
      </c>
      <c r="M129">
        <v>5</v>
      </c>
      <c r="N129">
        <v>5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1367</v>
      </c>
      <c r="AB129">
        <v>190</v>
      </c>
      <c r="AC129">
        <v>92</v>
      </c>
      <c r="AD129">
        <v>74</v>
      </c>
      <c r="AE129">
        <v>184</v>
      </c>
      <c r="AF129">
        <v>222</v>
      </c>
      <c r="AG129">
        <v>195</v>
      </c>
      <c r="AH129">
        <v>5</v>
      </c>
      <c r="AI129">
        <v>1</v>
      </c>
      <c r="AJ129">
        <v>5</v>
      </c>
      <c r="AK129">
        <v>5</v>
      </c>
      <c r="AL129">
        <v>5</v>
      </c>
    </row>
    <row r="130" spans="1:38">
      <c r="B130" t="s">
        <v>14</v>
      </c>
      <c r="C130">
        <v>824</v>
      </c>
      <c r="D130">
        <v>137</v>
      </c>
      <c r="E130">
        <v>122</v>
      </c>
      <c r="F130">
        <v>163</v>
      </c>
      <c r="G130">
        <v>6</v>
      </c>
      <c r="H130">
        <v>3</v>
      </c>
      <c r="I130">
        <v>1</v>
      </c>
      <c r="J130">
        <v>5</v>
      </c>
      <c r="K130">
        <v>7</v>
      </c>
      <c r="L130">
        <v>2</v>
      </c>
      <c r="M130">
        <v>2</v>
      </c>
      <c r="N130">
        <v>3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824</v>
      </c>
      <c r="AB130">
        <v>137</v>
      </c>
      <c r="AC130">
        <v>122</v>
      </c>
      <c r="AD130">
        <v>163</v>
      </c>
      <c r="AE130">
        <v>6</v>
      </c>
      <c r="AF130">
        <v>3</v>
      </c>
      <c r="AG130">
        <v>1</v>
      </c>
      <c r="AH130">
        <v>5</v>
      </c>
      <c r="AI130">
        <v>7</v>
      </c>
      <c r="AJ130">
        <v>2</v>
      </c>
      <c r="AK130">
        <v>2</v>
      </c>
      <c r="AL130">
        <v>3</v>
      </c>
    </row>
    <row r="131" spans="1:38">
      <c r="B131" t="s">
        <v>15</v>
      </c>
      <c r="C131">
        <v>656</v>
      </c>
      <c r="D131">
        <v>94</v>
      </c>
      <c r="E131">
        <v>42</v>
      </c>
      <c r="F131">
        <v>7</v>
      </c>
      <c r="G131">
        <v>1</v>
      </c>
      <c r="H131">
        <v>2</v>
      </c>
      <c r="I131">
        <v>3</v>
      </c>
      <c r="J131">
        <v>1</v>
      </c>
      <c r="K131">
        <v>4</v>
      </c>
      <c r="L131">
        <v>4</v>
      </c>
      <c r="M131">
        <v>1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656</v>
      </c>
      <c r="AB131">
        <v>94</v>
      </c>
      <c r="AC131">
        <v>42</v>
      </c>
      <c r="AD131">
        <v>7</v>
      </c>
      <c r="AE131">
        <v>1</v>
      </c>
      <c r="AF131">
        <v>2</v>
      </c>
      <c r="AG131">
        <v>3</v>
      </c>
      <c r="AH131">
        <v>1</v>
      </c>
      <c r="AI131">
        <v>4</v>
      </c>
      <c r="AJ131">
        <v>4</v>
      </c>
      <c r="AK131">
        <v>1</v>
      </c>
      <c r="AL131">
        <v>0</v>
      </c>
    </row>
    <row r="132" spans="1:38">
      <c r="B132" t="s">
        <v>16</v>
      </c>
      <c r="C132">
        <v>2586</v>
      </c>
      <c r="D132">
        <v>354</v>
      </c>
      <c r="E132">
        <v>11</v>
      </c>
      <c r="F132">
        <v>14</v>
      </c>
      <c r="G132">
        <v>7</v>
      </c>
      <c r="H132">
        <v>14</v>
      </c>
      <c r="I132">
        <v>15</v>
      </c>
      <c r="J132">
        <v>15</v>
      </c>
      <c r="K132">
        <v>11</v>
      </c>
      <c r="L132">
        <v>13</v>
      </c>
      <c r="M132">
        <v>8</v>
      </c>
      <c r="N132">
        <v>21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2586</v>
      </c>
      <c r="AB132">
        <v>354</v>
      </c>
      <c r="AC132">
        <v>11</v>
      </c>
      <c r="AD132">
        <v>14</v>
      </c>
      <c r="AE132">
        <v>7</v>
      </c>
      <c r="AF132">
        <v>14</v>
      </c>
      <c r="AG132">
        <v>15</v>
      </c>
      <c r="AH132">
        <v>15</v>
      </c>
      <c r="AI132">
        <v>11</v>
      </c>
      <c r="AJ132">
        <v>13</v>
      </c>
      <c r="AK132">
        <v>8</v>
      </c>
      <c r="AL132">
        <v>21</v>
      </c>
    </row>
    <row r="133" spans="1:38">
      <c r="B133" t="s">
        <v>17</v>
      </c>
      <c r="C133">
        <v>684</v>
      </c>
      <c r="D133">
        <v>80</v>
      </c>
      <c r="E133">
        <v>5</v>
      </c>
      <c r="F133">
        <v>4</v>
      </c>
      <c r="G133">
        <v>3</v>
      </c>
      <c r="H133">
        <v>2</v>
      </c>
      <c r="I133">
        <v>3</v>
      </c>
      <c r="J133">
        <v>6</v>
      </c>
      <c r="K133">
        <v>2</v>
      </c>
      <c r="L133">
        <v>3</v>
      </c>
      <c r="M133">
        <v>3</v>
      </c>
      <c r="N133">
        <v>4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684</v>
      </c>
      <c r="AB133">
        <v>80</v>
      </c>
      <c r="AC133">
        <v>5</v>
      </c>
      <c r="AD133">
        <v>4</v>
      </c>
      <c r="AE133">
        <v>3</v>
      </c>
      <c r="AF133">
        <v>2</v>
      </c>
      <c r="AG133">
        <v>3</v>
      </c>
      <c r="AH133">
        <v>6</v>
      </c>
      <c r="AI133">
        <v>2</v>
      </c>
      <c r="AJ133">
        <v>3</v>
      </c>
      <c r="AK133">
        <v>3</v>
      </c>
      <c r="AL133">
        <v>4</v>
      </c>
    </row>
    <row r="134" spans="1:38">
      <c r="B134" t="s">
        <v>18</v>
      </c>
      <c r="C134">
        <v>29</v>
      </c>
      <c r="D134">
        <v>4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29</v>
      </c>
      <c r="AB134">
        <v>4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0</v>
      </c>
      <c r="AL134">
        <v>0</v>
      </c>
    </row>
    <row r="135" spans="1:38">
      <c r="A135" t="s">
        <v>86</v>
      </c>
      <c r="B135" t="s">
        <v>3</v>
      </c>
      <c r="C135">
        <v>4087</v>
      </c>
      <c r="D135">
        <v>3614</v>
      </c>
      <c r="E135">
        <v>3237</v>
      </c>
      <c r="F135">
        <v>2579</v>
      </c>
      <c r="G135">
        <v>1930</v>
      </c>
      <c r="H135">
        <v>1321</v>
      </c>
      <c r="I135">
        <v>997</v>
      </c>
      <c r="J135">
        <v>671</v>
      </c>
      <c r="K135">
        <v>537</v>
      </c>
      <c r="L135">
        <v>456</v>
      </c>
      <c r="M135">
        <v>357</v>
      </c>
      <c r="N135">
        <v>255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4087</v>
      </c>
      <c r="AB135">
        <v>3614</v>
      </c>
      <c r="AC135">
        <v>3237</v>
      </c>
      <c r="AD135">
        <v>2579</v>
      </c>
      <c r="AE135">
        <v>1930</v>
      </c>
      <c r="AF135">
        <v>1321</v>
      </c>
      <c r="AG135">
        <v>997</v>
      </c>
      <c r="AH135">
        <v>671</v>
      </c>
      <c r="AI135">
        <v>537</v>
      </c>
      <c r="AJ135">
        <v>456</v>
      </c>
      <c r="AK135">
        <v>357</v>
      </c>
      <c r="AL135">
        <v>255</v>
      </c>
    </row>
    <row r="136" spans="1:38">
      <c r="B136" t="s">
        <v>5</v>
      </c>
      <c r="C136">
        <v>1868</v>
      </c>
      <c r="D136">
        <v>1663</v>
      </c>
      <c r="E136">
        <v>1552</v>
      </c>
      <c r="F136">
        <v>1362</v>
      </c>
      <c r="G136">
        <v>1164</v>
      </c>
      <c r="H136">
        <v>836</v>
      </c>
      <c r="I136">
        <v>622</v>
      </c>
      <c r="J136">
        <v>412</v>
      </c>
      <c r="K136">
        <v>314</v>
      </c>
      <c r="L136">
        <v>264</v>
      </c>
      <c r="M136">
        <v>228</v>
      </c>
      <c r="N136">
        <v>159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1868</v>
      </c>
      <c r="AB136">
        <v>1663</v>
      </c>
      <c r="AC136">
        <v>1552</v>
      </c>
      <c r="AD136">
        <v>1362</v>
      </c>
      <c r="AE136">
        <v>1164</v>
      </c>
      <c r="AF136">
        <v>836</v>
      </c>
      <c r="AG136">
        <v>622</v>
      </c>
      <c r="AH136">
        <v>412</v>
      </c>
      <c r="AI136">
        <v>314</v>
      </c>
      <c r="AJ136">
        <v>264</v>
      </c>
      <c r="AK136">
        <v>228</v>
      </c>
      <c r="AL136">
        <v>159</v>
      </c>
    </row>
    <row r="137" spans="1:38">
      <c r="B137" t="s">
        <v>6</v>
      </c>
      <c r="C137">
        <v>1</v>
      </c>
      <c r="D137">
        <v>1</v>
      </c>
      <c r="E137">
        <v>1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1</v>
      </c>
      <c r="AB137">
        <v>1</v>
      </c>
      <c r="AC137">
        <v>1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0</v>
      </c>
      <c r="AK137">
        <v>0</v>
      </c>
      <c r="AL137">
        <v>0</v>
      </c>
    </row>
    <row r="138" spans="1:38">
      <c r="B138" t="s">
        <v>7</v>
      </c>
      <c r="C138">
        <v>1555</v>
      </c>
      <c r="D138">
        <v>1369</v>
      </c>
      <c r="E138">
        <v>1226</v>
      </c>
      <c r="F138">
        <v>921</v>
      </c>
      <c r="G138">
        <v>584</v>
      </c>
      <c r="H138">
        <v>365</v>
      </c>
      <c r="I138">
        <v>290</v>
      </c>
      <c r="J138">
        <v>204</v>
      </c>
      <c r="K138">
        <v>175</v>
      </c>
      <c r="L138">
        <v>153</v>
      </c>
      <c r="M138">
        <v>107</v>
      </c>
      <c r="N138">
        <v>88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1555</v>
      </c>
      <c r="AB138">
        <v>1369</v>
      </c>
      <c r="AC138">
        <v>1226</v>
      </c>
      <c r="AD138">
        <v>921</v>
      </c>
      <c r="AE138">
        <v>584</v>
      </c>
      <c r="AF138">
        <v>365</v>
      </c>
      <c r="AG138">
        <v>290</v>
      </c>
      <c r="AH138">
        <v>204</v>
      </c>
      <c r="AI138">
        <v>175</v>
      </c>
      <c r="AJ138">
        <v>153</v>
      </c>
      <c r="AK138">
        <v>107</v>
      </c>
      <c r="AL138">
        <v>88</v>
      </c>
    </row>
    <row r="139" spans="1:38">
      <c r="B139" t="s">
        <v>8</v>
      </c>
      <c r="C139">
        <v>485</v>
      </c>
      <c r="D139">
        <v>424</v>
      </c>
      <c r="E139">
        <v>332</v>
      </c>
      <c r="F139">
        <v>232</v>
      </c>
      <c r="G139">
        <v>156</v>
      </c>
      <c r="H139">
        <v>105</v>
      </c>
      <c r="I139">
        <v>78</v>
      </c>
      <c r="J139">
        <v>51</v>
      </c>
      <c r="K139">
        <v>44</v>
      </c>
      <c r="L139">
        <v>36</v>
      </c>
      <c r="M139">
        <v>20</v>
      </c>
      <c r="N139">
        <v>6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485</v>
      </c>
      <c r="AB139">
        <v>424</v>
      </c>
      <c r="AC139">
        <v>332</v>
      </c>
      <c r="AD139">
        <v>232</v>
      </c>
      <c r="AE139">
        <v>156</v>
      </c>
      <c r="AF139">
        <v>105</v>
      </c>
      <c r="AG139">
        <v>78</v>
      </c>
      <c r="AH139">
        <v>51</v>
      </c>
      <c r="AI139">
        <v>44</v>
      </c>
      <c r="AJ139">
        <v>36</v>
      </c>
      <c r="AK139">
        <v>20</v>
      </c>
      <c r="AL139">
        <v>6</v>
      </c>
    </row>
    <row r="140" spans="1:38">
      <c r="B140" t="s">
        <v>9</v>
      </c>
      <c r="C140">
        <v>141</v>
      </c>
      <c r="D140">
        <v>125</v>
      </c>
      <c r="E140">
        <v>103</v>
      </c>
      <c r="F140">
        <v>48</v>
      </c>
      <c r="G140">
        <v>17</v>
      </c>
      <c r="H140">
        <v>10</v>
      </c>
      <c r="I140">
        <v>3</v>
      </c>
      <c r="J140">
        <v>2</v>
      </c>
      <c r="K140">
        <v>2</v>
      </c>
      <c r="L140">
        <v>2</v>
      </c>
      <c r="M140">
        <v>2</v>
      </c>
      <c r="N140">
        <v>2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141</v>
      </c>
      <c r="AB140">
        <v>125</v>
      </c>
      <c r="AC140">
        <v>103</v>
      </c>
      <c r="AD140">
        <v>48</v>
      </c>
      <c r="AE140">
        <v>17</v>
      </c>
      <c r="AF140">
        <v>10</v>
      </c>
      <c r="AG140">
        <v>3</v>
      </c>
      <c r="AH140">
        <v>2</v>
      </c>
      <c r="AI140">
        <v>2</v>
      </c>
      <c r="AJ140">
        <v>2</v>
      </c>
      <c r="AK140">
        <v>2</v>
      </c>
      <c r="AL140">
        <v>2</v>
      </c>
    </row>
    <row r="141" spans="1:38">
      <c r="B141" t="s">
        <v>10</v>
      </c>
      <c r="C141">
        <v>20</v>
      </c>
      <c r="D141">
        <v>18</v>
      </c>
      <c r="E141">
        <v>12</v>
      </c>
      <c r="F141">
        <v>11</v>
      </c>
      <c r="G141">
        <v>7</v>
      </c>
      <c r="H141">
        <v>3</v>
      </c>
      <c r="I141">
        <v>3</v>
      </c>
      <c r="J141">
        <v>2</v>
      </c>
      <c r="K141">
        <v>2</v>
      </c>
      <c r="L141">
        <v>1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20</v>
      </c>
      <c r="AB141">
        <v>18</v>
      </c>
      <c r="AC141">
        <v>12</v>
      </c>
      <c r="AD141">
        <v>11</v>
      </c>
      <c r="AE141">
        <v>7</v>
      </c>
      <c r="AF141">
        <v>3</v>
      </c>
      <c r="AG141">
        <v>3</v>
      </c>
      <c r="AH141">
        <v>2</v>
      </c>
      <c r="AI141">
        <v>2</v>
      </c>
      <c r="AJ141">
        <v>1</v>
      </c>
      <c r="AK141">
        <v>0</v>
      </c>
      <c r="AL141">
        <v>0</v>
      </c>
    </row>
    <row r="142" spans="1:38">
      <c r="B142" t="s">
        <v>11</v>
      </c>
      <c r="C142">
        <v>9</v>
      </c>
      <c r="D142">
        <v>9</v>
      </c>
      <c r="E142">
        <v>8</v>
      </c>
      <c r="F142">
        <v>3</v>
      </c>
      <c r="G142">
        <v>1</v>
      </c>
      <c r="H142">
        <v>2</v>
      </c>
      <c r="I142">
        <v>1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9</v>
      </c>
      <c r="AB142">
        <v>9</v>
      </c>
      <c r="AC142">
        <v>8</v>
      </c>
      <c r="AD142">
        <v>3</v>
      </c>
      <c r="AE142">
        <v>1</v>
      </c>
      <c r="AF142">
        <v>2</v>
      </c>
      <c r="AG142">
        <v>1</v>
      </c>
      <c r="AH142">
        <v>0</v>
      </c>
      <c r="AI142">
        <v>0</v>
      </c>
      <c r="AJ142">
        <v>0</v>
      </c>
      <c r="AK142">
        <v>0</v>
      </c>
      <c r="AL142">
        <v>0</v>
      </c>
    </row>
    <row r="143" spans="1:38">
      <c r="B143" t="s">
        <v>12</v>
      </c>
      <c r="C143">
        <v>4</v>
      </c>
      <c r="D143">
        <v>3</v>
      </c>
      <c r="E143">
        <v>1</v>
      </c>
      <c r="F143">
        <v>2</v>
      </c>
      <c r="G143">
        <v>1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4</v>
      </c>
      <c r="AB143">
        <v>3</v>
      </c>
      <c r="AC143">
        <v>1</v>
      </c>
      <c r="AD143">
        <v>2</v>
      </c>
      <c r="AE143">
        <v>1</v>
      </c>
      <c r="AF143">
        <v>0</v>
      </c>
      <c r="AG143">
        <v>0</v>
      </c>
      <c r="AH143">
        <v>0</v>
      </c>
      <c r="AI143">
        <v>0</v>
      </c>
      <c r="AJ143">
        <v>0</v>
      </c>
      <c r="AK143">
        <v>0</v>
      </c>
      <c r="AL143">
        <v>0</v>
      </c>
    </row>
    <row r="144" spans="1:38">
      <c r="B144" t="s">
        <v>13</v>
      </c>
      <c r="C144">
        <v>2</v>
      </c>
      <c r="D144">
        <v>1</v>
      </c>
      <c r="E144">
        <v>2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2</v>
      </c>
      <c r="AB144">
        <v>1</v>
      </c>
      <c r="AC144">
        <v>2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0</v>
      </c>
      <c r="AK144">
        <v>0</v>
      </c>
      <c r="AL144">
        <v>0</v>
      </c>
    </row>
    <row r="145" spans="1:38">
      <c r="B145" t="s">
        <v>14</v>
      </c>
      <c r="C145">
        <v>1</v>
      </c>
      <c r="D145">
        <v>1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1</v>
      </c>
      <c r="AB145">
        <v>1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0</v>
      </c>
      <c r="AL145">
        <v>0</v>
      </c>
    </row>
    <row r="146" spans="1:38">
      <c r="B146" t="s">
        <v>17</v>
      </c>
      <c r="C146">
        <v>1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1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0</v>
      </c>
      <c r="AL146">
        <v>0</v>
      </c>
    </row>
    <row r="147" spans="1:38">
      <c r="A147" t="s">
        <v>87</v>
      </c>
      <c r="B147" t="s">
        <v>3</v>
      </c>
      <c r="C147">
        <v>1</v>
      </c>
      <c r="D147">
        <v>2</v>
      </c>
      <c r="E147">
        <v>2</v>
      </c>
      <c r="F147">
        <v>1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1</v>
      </c>
      <c r="AB147">
        <v>2</v>
      </c>
      <c r="AC147">
        <v>2</v>
      </c>
      <c r="AD147">
        <v>1</v>
      </c>
      <c r="AE147">
        <v>0</v>
      </c>
      <c r="AF147">
        <v>0</v>
      </c>
      <c r="AG147">
        <v>0</v>
      </c>
      <c r="AH147">
        <v>0</v>
      </c>
      <c r="AI147">
        <v>0</v>
      </c>
      <c r="AJ147">
        <v>0</v>
      </c>
      <c r="AK147">
        <v>0</v>
      </c>
      <c r="AL147">
        <v>0</v>
      </c>
    </row>
    <row r="148" spans="1:38">
      <c r="B148" t="s">
        <v>5</v>
      </c>
      <c r="C148">
        <v>1</v>
      </c>
      <c r="D148">
        <v>2</v>
      </c>
      <c r="E148">
        <v>2</v>
      </c>
      <c r="F148">
        <v>1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1</v>
      </c>
      <c r="AB148">
        <v>2</v>
      </c>
      <c r="AC148">
        <v>2</v>
      </c>
      <c r="AD148">
        <v>1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  <c r="AK148">
        <v>0</v>
      </c>
      <c r="AL148">
        <v>0</v>
      </c>
    </row>
    <row r="149" spans="1:38">
      <c r="A149" t="s">
        <v>88</v>
      </c>
      <c r="B149" t="s">
        <v>3</v>
      </c>
      <c r="C149">
        <v>3751</v>
      </c>
      <c r="D149">
        <v>3319</v>
      </c>
      <c r="E149">
        <v>2979</v>
      </c>
      <c r="F149">
        <v>2351</v>
      </c>
      <c r="G149">
        <v>1748</v>
      </c>
      <c r="H149">
        <v>1171</v>
      </c>
      <c r="I149">
        <v>862</v>
      </c>
      <c r="J149">
        <v>552</v>
      </c>
      <c r="K149">
        <v>436</v>
      </c>
      <c r="L149">
        <v>372</v>
      </c>
      <c r="M149">
        <v>290</v>
      </c>
      <c r="N149">
        <v>200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3751</v>
      </c>
      <c r="AB149">
        <v>3319</v>
      </c>
      <c r="AC149">
        <v>2979</v>
      </c>
      <c r="AD149">
        <v>2351</v>
      </c>
      <c r="AE149">
        <v>1748</v>
      </c>
      <c r="AF149">
        <v>1171</v>
      </c>
      <c r="AG149">
        <v>862</v>
      </c>
      <c r="AH149">
        <v>552</v>
      </c>
      <c r="AI149">
        <v>436</v>
      </c>
      <c r="AJ149">
        <v>372</v>
      </c>
      <c r="AK149">
        <v>290</v>
      </c>
      <c r="AL149">
        <v>200</v>
      </c>
    </row>
    <row r="150" spans="1:38">
      <c r="B150" t="s">
        <v>5</v>
      </c>
      <c r="C150">
        <v>1638</v>
      </c>
      <c r="D150">
        <v>1442</v>
      </c>
      <c r="E150">
        <v>1328</v>
      </c>
      <c r="F150">
        <v>1164</v>
      </c>
      <c r="G150">
        <v>997</v>
      </c>
      <c r="H150">
        <v>695</v>
      </c>
      <c r="I150">
        <v>494</v>
      </c>
      <c r="J150">
        <v>301</v>
      </c>
      <c r="K150">
        <v>218</v>
      </c>
      <c r="L150">
        <v>186</v>
      </c>
      <c r="M150">
        <v>164</v>
      </c>
      <c r="N150">
        <v>107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1638</v>
      </c>
      <c r="AB150">
        <v>1442</v>
      </c>
      <c r="AC150">
        <v>1328</v>
      </c>
      <c r="AD150">
        <v>1164</v>
      </c>
      <c r="AE150">
        <v>997</v>
      </c>
      <c r="AF150">
        <v>695</v>
      </c>
      <c r="AG150">
        <v>494</v>
      </c>
      <c r="AH150">
        <v>301</v>
      </c>
      <c r="AI150">
        <v>218</v>
      </c>
      <c r="AJ150">
        <v>186</v>
      </c>
      <c r="AK150">
        <v>164</v>
      </c>
      <c r="AL150">
        <v>107</v>
      </c>
    </row>
    <row r="151" spans="1:38">
      <c r="B151" t="s">
        <v>6</v>
      </c>
      <c r="C151">
        <v>1</v>
      </c>
      <c r="D151">
        <v>1</v>
      </c>
      <c r="E151">
        <v>1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1</v>
      </c>
      <c r="AB151">
        <v>1</v>
      </c>
      <c r="AC151">
        <v>1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  <c r="AK151">
        <v>0</v>
      </c>
      <c r="AL151">
        <v>0</v>
      </c>
    </row>
    <row r="152" spans="1:38">
      <c r="B152" t="s">
        <v>7</v>
      </c>
      <c r="C152">
        <v>1459</v>
      </c>
      <c r="D152">
        <v>1302</v>
      </c>
      <c r="E152">
        <v>1196</v>
      </c>
      <c r="F152">
        <v>900</v>
      </c>
      <c r="G152">
        <v>570</v>
      </c>
      <c r="H152">
        <v>356</v>
      </c>
      <c r="I152">
        <v>283</v>
      </c>
      <c r="J152">
        <v>197</v>
      </c>
      <c r="K152">
        <v>171</v>
      </c>
      <c r="L152">
        <v>147</v>
      </c>
      <c r="M152">
        <v>104</v>
      </c>
      <c r="N152">
        <v>85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1459</v>
      </c>
      <c r="AB152">
        <v>1302</v>
      </c>
      <c r="AC152">
        <v>1196</v>
      </c>
      <c r="AD152">
        <v>900</v>
      </c>
      <c r="AE152">
        <v>570</v>
      </c>
      <c r="AF152">
        <v>356</v>
      </c>
      <c r="AG152">
        <v>283</v>
      </c>
      <c r="AH152">
        <v>197</v>
      </c>
      <c r="AI152">
        <v>171</v>
      </c>
      <c r="AJ152">
        <v>147</v>
      </c>
      <c r="AK152">
        <v>104</v>
      </c>
      <c r="AL152">
        <v>85</v>
      </c>
    </row>
    <row r="153" spans="1:38">
      <c r="B153" t="s">
        <v>8</v>
      </c>
      <c r="C153">
        <v>478</v>
      </c>
      <c r="D153">
        <v>419</v>
      </c>
      <c r="E153">
        <v>330</v>
      </c>
      <c r="F153">
        <v>225</v>
      </c>
      <c r="G153">
        <v>156</v>
      </c>
      <c r="H153">
        <v>105</v>
      </c>
      <c r="I153">
        <v>78</v>
      </c>
      <c r="J153">
        <v>50</v>
      </c>
      <c r="K153">
        <v>43</v>
      </c>
      <c r="L153">
        <v>36</v>
      </c>
      <c r="M153">
        <v>20</v>
      </c>
      <c r="N153">
        <v>6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478</v>
      </c>
      <c r="AB153">
        <v>419</v>
      </c>
      <c r="AC153">
        <v>330</v>
      </c>
      <c r="AD153">
        <v>225</v>
      </c>
      <c r="AE153">
        <v>156</v>
      </c>
      <c r="AF153">
        <v>105</v>
      </c>
      <c r="AG153">
        <v>78</v>
      </c>
      <c r="AH153">
        <v>50</v>
      </c>
      <c r="AI153">
        <v>43</v>
      </c>
      <c r="AJ153">
        <v>36</v>
      </c>
      <c r="AK153">
        <v>20</v>
      </c>
      <c r="AL153">
        <v>6</v>
      </c>
    </row>
    <row r="154" spans="1:38">
      <c r="B154" t="s">
        <v>9</v>
      </c>
      <c r="C154">
        <v>140</v>
      </c>
      <c r="D154">
        <v>125</v>
      </c>
      <c r="E154">
        <v>103</v>
      </c>
      <c r="F154">
        <v>47</v>
      </c>
      <c r="G154">
        <v>16</v>
      </c>
      <c r="H154">
        <v>10</v>
      </c>
      <c r="I154">
        <v>3</v>
      </c>
      <c r="J154">
        <v>2</v>
      </c>
      <c r="K154">
        <v>2</v>
      </c>
      <c r="L154">
        <v>2</v>
      </c>
      <c r="M154">
        <v>2</v>
      </c>
      <c r="N154">
        <v>2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140</v>
      </c>
      <c r="AB154">
        <v>125</v>
      </c>
      <c r="AC154">
        <v>103</v>
      </c>
      <c r="AD154">
        <v>47</v>
      </c>
      <c r="AE154">
        <v>16</v>
      </c>
      <c r="AF154">
        <v>10</v>
      </c>
      <c r="AG154">
        <v>3</v>
      </c>
      <c r="AH154">
        <v>2</v>
      </c>
      <c r="AI154">
        <v>2</v>
      </c>
      <c r="AJ154">
        <v>2</v>
      </c>
      <c r="AK154">
        <v>2</v>
      </c>
      <c r="AL154">
        <v>2</v>
      </c>
    </row>
    <row r="155" spans="1:38">
      <c r="B155" t="s">
        <v>10</v>
      </c>
      <c r="C155">
        <v>20</v>
      </c>
      <c r="D155">
        <v>17</v>
      </c>
      <c r="E155">
        <v>11</v>
      </c>
      <c r="F155">
        <v>10</v>
      </c>
      <c r="G155">
        <v>7</v>
      </c>
      <c r="H155">
        <v>3</v>
      </c>
      <c r="I155">
        <v>3</v>
      </c>
      <c r="J155">
        <v>2</v>
      </c>
      <c r="K155">
        <v>2</v>
      </c>
      <c r="L155">
        <v>1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20</v>
      </c>
      <c r="AB155">
        <v>17</v>
      </c>
      <c r="AC155">
        <v>11</v>
      </c>
      <c r="AD155">
        <v>10</v>
      </c>
      <c r="AE155">
        <v>7</v>
      </c>
      <c r="AF155">
        <v>3</v>
      </c>
      <c r="AG155">
        <v>3</v>
      </c>
      <c r="AH155">
        <v>2</v>
      </c>
      <c r="AI155">
        <v>2</v>
      </c>
      <c r="AJ155">
        <v>1</v>
      </c>
      <c r="AK155">
        <v>0</v>
      </c>
      <c r="AL155">
        <v>0</v>
      </c>
    </row>
    <row r="156" spans="1:38">
      <c r="B156" t="s">
        <v>11</v>
      </c>
      <c r="C156">
        <v>8</v>
      </c>
      <c r="D156">
        <v>8</v>
      </c>
      <c r="E156">
        <v>7</v>
      </c>
      <c r="F156">
        <v>3</v>
      </c>
      <c r="G156">
        <v>1</v>
      </c>
      <c r="H156">
        <v>2</v>
      </c>
      <c r="I156">
        <v>1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8</v>
      </c>
      <c r="AB156">
        <v>8</v>
      </c>
      <c r="AC156">
        <v>7</v>
      </c>
      <c r="AD156">
        <v>3</v>
      </c>
      <c r="AE156">
        <v>1</v>
      </c>
      <c r="AF156">
        <v>2</v>
      </c>
      <c r="AG156">
        <v>1</v>
      </c>
      <c r="AH156">
        <v>0</v>
      </c>
      <c r="AI156">
        <v>0</v>
      </c>
      <c r="AJ156">
        <v>0</v>
      </c>
      <c r="AK156">
        <v>0</v>
      </c>
      <c r="AL156">
        <v>0</v>
      </c>
    </row>
    <row r="157" spans="1:38">
      <c r="B157" t="s">
        <v>12</v>
      </c>
      <c r="C157">
        <v>3</v>
      </c>
      <c r="D157">
        <v>3</v>
      </c>
      <c r="E157">
        <v>1</v>
      </c>
      <c r="F157">
        <v>2</v>
      </c>
      <c r="G157">
        <v>1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3</v>
      </c>
      <c r="AB157">
        <v>3</v>
      </c>
      <c r="AC157">
        <v>1</v>
      </c>
      <c r="AD157">
        <v>2</v>
      </c>
      <c r="AE157">
        <v>1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0</v>
      </c>
      <c r="AL157">
        <v>0</v>
      </c>
    </row>
    <row r="158" spans="1:38">
      <c r="B158" t="s">
        <v>13</v>
      </c>
      <c r="C158">
        <v>2</v>
      </c>
      <c r="D158">
        <v>1</v>
      </c>
      <c r="E158">
        <v>2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2</v>
      </c>
      <c r="AB158">
        <v>1</v>
      </c>
      <c r="AC158">
        <v>2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0</v>
      </c>
      <c r="AK158">
        <v>0</v>
      </c>
      <c r="AL158">
        <v>0</v>
      </c>
    </row>
    <row r="159" spans="1:38">
      <c r="B159" t="s">
        <v>14</v>
      </c>
      <c r="C159">
        <v>1</v>
      </c>
      <c r="D159">
        <v>1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1</v>
      </c>
      <c r="AB159">
        <v>1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</v>
      </c>
      <c r="AK159">
        <v>0</v>
      </c>
      <c r="AL159">
        <v>0</v>
      </c>
    </row>
    <row r="160" spans="1:38">
      <c r="B160" t="s">
        <v>17</v>
      </c>
      <c r="C160">
        <v>1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1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0</v>
      </c>
      <c r="AL160">
        <v>0</v>
      </c>
    </row>
    <row r="161" spans="1:38">
      <c r="A161" t="s">
        <v>89</v>
      </c>
      <c r="B161" t="s">
        <v>3</v>
      </c>
      <c r="C161">
        <v>335</v>
      </c>
      <c r="D161">
        <v>293</v>
      </c>
      <c r="E161">
        <v>256</v>
      </c>
      <c r="F161">
        <v>227</v>
      </c>
      <c r="G161">
        <v>182</v>
      </c>
      <c r="H161">
        <v>150</v>
      </c>
      <c r="I161">
        <v>135</v>
      </c>
      <c r="J161">
        <v>119</v>
      </c>
      <c r="K161">
        <v>101</v>
      </c>
      <c r="L161">
        <v>84</v>
      </c>
      <c r="M161">
        <v>67</v>
      </c>
      <c r="N161">
        <v>55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335</v>
      </c>
      <c r="AB161">
        <v>293</v>
      </c>
      <c r="AC161">
        <v>256</v>
      </c>
      <c r="AD161">
        <v>227</v>
      </c>
      <c r="AE161">
        <v>182</v>
      </c>
      <c r="AF161">
        <v>150</v>
      </c>
      <c r="AG161">
        <v>135</v>
      </c>
      <c r="AH161">
        <v>119</v>
      </c>
      <c r="AI161">
        <v>101</v>
      </c>
      <c r="AJ161">
        <v>84</v>
      </c>
      <c r="AK161">
        <v>67</v>
      </c>
      <c r="AL161">
        <v>55</v>
      </c>
    </row>
    <row r="162" spans="1:38">
      <c r="B162" t="s">
        <v>5</v>
      </c>
      <c r="C162">
        <v>229</v>
      </c>
      <c r="D162">
        <v>219</v>
      </c>
      <c r="E162">
        <v>222</v>
      </c>
      <c r="F162">
        <v>197</v>
      </c>
      <c r="G162">
        <v>167</v>
      </c>
      <c r="H162">
        <v>141</v>
      </c>
      <c r="I162">
        <v>128</v>
      </c>
      <c r="J162">
        <v>111</v>
      </c>
      <c r="K162">
        <v>96</v>
      </c>
      <c r="L162">
        <v>78</v>
      </c>
      <c r="M162">
        <v>64</v>
      </c>
      <c r="N162">
        <v>52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229</v>
      </c>
      <c r="AB162">
        <v>219</v>
      </c>
      <c r="AC162">
        <v>222</v>
      </c>
      <c r="AD162">
        <v>197</v>
      </c>
      <c r="AE162">
        <v>167</v>
      </c>
      <c r="AF162">
        <v>141</v>
      </c>
      <c r="AG162">
        <v>128</v>
      </c>
      <c r="AH162">
        <v>111</v>
      </c>
      <c r="AI162">
        <v>96</v>
      </c>
      <c r="AJ162">
        <v>78</v>
      </c>
      <c r="AK162">
        <v>64</v>
      </c>
      <c r="AL162">
        <v>52</v>
      </c>
    </row>
    <row r="163" spans="1:38">
      <c r="B163" t="s">
        <v>7</v>
      </c>
      <c r="C163">
        <v>96</v>
      </c>
      <c r="D163">
        <v>67</v>
      </c>
      <c r="E163">
        <v>30</v>
      </c>
      <c r="F163">
        <v>21</v>
      </c>
      <c r="G163">
        <v>14</v>
      </c>
      <c r="H163">
        <v>9</v>
      </c>
      <c r="I163">
        <v>7</v>
      </c>
      <c r="J163">
        <v>7</v>
      </c>
      <c r="K163">
        <v>4</v>
      </c>
      <c r="L163">
        <v>6</v>
      </c>
      <c r="M163">
        <v>3</v>
      </c>
      <c r="N163">
        <v>3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96</v>
      </c>
      <c r="AB163">
        <v>67</v>
      </c>
      <c r="AC163">
        <v>30</v>
      </c>
      <c r="AD163">
        <v>21</v>
      </c>
      <c r="AE163">
        <v>14</v>
      </c>
      <c r="AF163">
        <v>9</v>
      </c>
      <c r="AG163">
        <v>7</v>
      </c>
      <c r="AH163">
        <v>7</v>
      </c>
      <c r="AI163">
        <v>4</v>
      </c>
      <c r="AJ163">
        <v>6</v>
      </c>
      <c r="AK163">
        <v>3</v>
      </c>
      <c r="AL163">
        <v>3</v>
      </c>
    </row>
    <row r="164" spans="1:38">
      <c r="B164" t="s">
        <v>8</v>
      </c>
      <c r="C164">
        <v>7</v>
      </c>
      <c r="D164">
        <v>5</v>
      </c>
      <c r="E164">
        <v>2</v>
      </c>
      <c r="F164">
        <v>7</v>
      </c>
      <c r="G164">
        <v>0</v>
      </c>
      <c r="H164">
        <v>0</v>
      </c>
      <c r="I164">
        <v>0</v>
      </c>
      <c r="J164">
        <v>1</v>
      </c>
      <c r="K164">
        <v>1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7</v>
      </c>
      <c r="AB164">
        <v>5</v>
      </c>
      <c r="AC164">
        <v>2</v>
      </c>
      <c r="AD164">
        <v>7</v>
      </c>
      <c r="AE164">
        <v>0</v>
      </c>
      <c r="AF164">
        <v>0</v>
      </c>
      <c r="AG164">
        <v>0</v>
      </c>
      <c r="AH164">
        <v>1</v>
      </c>
      <c r="AI164">
        <v>1</v>
      </c>
      <c r="AJ164">
        <v>0</v>
      </c>
      <c r="AK164">
        <v>0</v>
      </c>
      <c r="AL164">
        <v>0</v>
      </c>
    </row>
    <row r="165" spans="1:38">
      <c r="B165" t="s">
        <v>9</v>
      </c>
      <c r="C165">
        <v>1</v>
      </c>
      <c r="D165">
        <v>0</v>
      </c>
      <c r="E165">
        <v>0</v>
      </c>
      <c r="F165">
        <v>1</v>
      </c>
      <c r="G165">
        <v>1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1</v>
      </c>
      <c r="AB165">
        <v>0</v>
      </c>
      <c r="AC165">
        <v>0</v>
      </c>
      <c r="AD165">
        <v>1</v>
      </c>
      <c r="AE165">
        <v>1</v>
      </c>
      <c r="AF165">
        <v>0</v>
      </c>
      <c r="AG165">
        <v>0</v>
      </c>
      <c r="AH165">
        <v>0</v>
      </c>
      <c r="AI165">
        <v>0</v>
      </c>
      <c r="AJ165">
        <v>0</v>
      </c>
      <c r="AK165">
        <v>0</v>
      </c>
      <c r="AL165">
        <v>0</v>
      </c>
    </row>
    <row r="166" spans="1:38">
      <c r="B166" t="s">
        <v>10</v>
      </c>
      <c r="C166">
        <v>0</v>
      </c>
      <c r="D166">
        <v>1</v>
      </c>
      <c r="E166">
        <v>1</v>
      </c>
      <c r="F166">
        <v>1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1</v>
      </c>
      <c r="AC166">
        <v>1</v>
      </c>
      <c r="AD166">
        <v>1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0</v>
      </c>
      <c r="AK166">
        <v>0</v>
      </c>
      <c r="AL166">
        <v>0</v>
      </c>
    </row>
    <row r="167" spans="1:38">
      <c r="B167" t="s">
        <v>11</v>
      </c>
      <c r="C167">
        <v>1</v>
      </c>
      <c r="D167">
        <v>1</v>
      </c>
      <c r="E167">
        <v>1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1</v>
      </c>
      <c r="AB167">
        <v>1</v>
      </c>
      <c r="AC167">
        <v>1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0</v>
      </c>
      <c r="AK167">
        <v>0</v>
      </c>
      <c r="AL167">
        <v>0</v>
      </c>
    </row>
    <row r="168" spans="1:38">
      <c r="B168" t="s">
        <v>12</v>
      </c>
      <c r="C168">
        <v>1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1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0</v>
      </c>
      <c r="AJ168">
        <v>0</v>
      </c>
      <c r="AK168">
        <v>0</v>
      </c>
      <c r="AL168">
        <v>0</v>
      </c>
    </row>
    <row r="169" spans="1:38">
      <c r="A169" t="s">
        <v>75</v>
      </c>
      <c r="B169" t="s">
        <v>3</v>
      </c>
      <c r="C169">
        <v>695354</v>
      </c>
      <c r="D169">
        <v>711179</v>
      </c>
      <c r="E169">
        <v>732728</v>
      </c>
      <c r="F169">
        <v>732606</v>
      </c>
      <c r="G169">
        <v>710564</v>
      </c>
      <c r="H169">
        <v>743273</v>
      </c>
      <c r="I169">
        <v>775404</v>
      </c>
      <c r="J169">
        <v>767705</v>
      </c>
      <c r="K169">
        <v>795991</v>
      </c>
      <c r="L169">
        <v>801650</v>
      </c>
      <c r="M169">
        <v>806691</v>
      </c>
      <c r="N169">
        <v>823896</v>
      </c>
      <c r="O169">
        <v>24629</v>
      </c>
      <c r="P169">
        <v>24763</v>
      </c>
      <c r="Q169">
        <v>24198</v>
      </c>
      <c r="R169">
        <v>23198</v>
      </c>
      <c r="S169">
        <v>22231</v>
      </c>
      <c r="T169">
        <v>25380</v>
      </c>
      <c r="U169">
        <v>28137</v>
      </c>
      <c r="V169">
        <v>30383</v>
      </c>
      <c r="W169">
        <v>32137</v>
      </c>
      <c r="X169">
        <v>32890</v>
      </c>
      <c r="Y169">
        <v>33198</v>
      </c>
      <c r="Z169">
        <v>34156</v>
      </c>
      <c r="AA169">
        <v>719983</v>
      </c>
      <c r="AB169">
        <v>735942</v>
      </c>
      <c r="AC169">
        <v>756926</v>
      </c>
      <c r="AD169">
        <v>755804</v>
      </c>
      <c r="AE169">
        <v>732795</v>
      </c>
      <c r="AF169">
        <v>768653</v>
      </c>
      <c r="AG169">
        <v>803541</v>
      </c>
      <c r="AH169">
        <v>798088</v>
      </c>
      <c r="AI169">
        <v>828128</v>
      </c>
      <c r="AJ169">
        <v>834540</v>
      </c>
      <c r="AK169">
        <v>839889</v>
      </c>
      <c r="AL169">
        <v>858052</v>
      </c>
    </row>
    <row r="170" spans="1:38">
      <c r="B170" t="s">
        <v>5</v>
      </c>
      <c r="C170">
        <v>271149</v>
      </c>
      <c r="D170">
        <v>267067</v>
      </c>
      <c r="E170">
        <v>266162</v>
      </c>
      <c r="F170">
        <v>270100</v>
      </c>
      <c r="G170">
        <v>276329</v>
      </c>
      <c r="H170">
        <v>275356</v>
      </c>
      <c r="I170">
        <v>274250</v>
      </c>
      <c r="J170">
        <v>274142</v>
      </c>
      <c r="K170">
        <v>274725</v>
      </c>
      <c r="L170">
        <v>274666</v>
      </c>
      <c r="M170">
        <v>281146</v>
      </c>
      <c r="N170">
        <v>282674</v>
      </c>
      <c r="O170">
        <v>5019</v>
      </c>
      <c r="P170">
        <v>5193</v>
      </c>
      <c r="Q170">
        <v>5376</v>
      </c>
      <c r="R170">
        <v>5568</v>
      </c>
      <c r="S170">
        <v>5833</v>
      </c>
      <c r="T170">
        <v>5947</v>
      </c>
      <c r="U170">
        <v>6031</v>
      </c>
      <c r="V170">
        <v>6371</v>
      </c>
      <c r="W170">
        <v>6707</v>
      </c>
      <c r="X170">
        <v>7070</v>
      </c>
      <c r="Y170">
        <v>7341</v>
      </c>
      <c r="Z170">
        <v>7639</v>
      </c>
      <c r="AA170">
        <v>276168</v>
      </c>
      <c r="AB170">
        <v>272260</v>
      </c>
      <c r="AC170">
        <v>271538</v>
      </c>
      <c r="AD170">
        <v>275668</v>
      </c>
      <c r="AE170">
        <v>282162</v>
      </c>
      <c r="AF170">
        <v>281303</v>
      </c>
      <c r="AG170">
        <v>280281</v>
      </c>
      <c r="AH170">
        <v>280513</v>
      </c>
      <c r="AI170">
        <v>281432</v>
      </c>
      <c r="AJ170">
        <v>281736</v>
      </c>
      <c r="AK170">
        <v>288487</v>
      </c>
      <c r="AL170">
        <v>290313</v>
      </c>
    </row>
    <row r="171" spans="1:38">
      <c r="B171" t="s">
        <v>6</v>
      </c>
      <c r="C171">
        <v>73059</v>
      </c>
      <c r="D171">
        <v>72496</v>
      </c>
      <c r="E171">
        <v>77096</v>
      </c>
      <c r="F171">
        <v>87277</v>
      </c>
      <c r="G171">
        <v>99702</v>
      </c>
      <c r="H171">
        <v>109983</v>
      </c>
      <c r="I171">
        <v>120029</v>
      </c>
      <c r="J171">
        <v>127084</v>
      </c>
      <c r="K171">
        <v>130664</v>
      </c>
      <c r="L171">
        <v>127111</v>
      </c>
      <c r="M171">
        <v>142560</v>
      </c>
      <c r="N171">
        <v>144368</v>
      </c>
      <c r="O171">
        <v>14723</v>
      </c>
      <c r="P171">
        <v>14669</v>
      </c>
      <c r="Q171">
        <v>14170</v>
      </c>
      <c r="R171">
        <v>13794</v>
      </c>
      <c r="S171">
        <v>13578</v>
      </c>
      <c r="T171">
        <v>17036</v>
      </c>
      <c r="U171">
        <v>19963</v>
      </c>
      <c r="V171">
        <v>22105</v>
      </c>
      <c r="W171">
        <v>23592</v>
      </c>
      <c r="X171">
        <v>24027</v>
      </c>
      <c r="Y171">
        <v>24288</v>
      </c>
      <c r="Z171">
        <v>24995</v>
      </c>
      <c r="AA171">
        <v>87782</v>
      </c>
      <c r="AB171">
        <v>87165</v>
      </c>
      <c r="AC171">
        <v>91266</v>
      </c>
      <c r="AD171">
        <v>101071</v>
      </c>
      <c r="AE171">
        <v>113280</v>
      </c>
      <c r="AF171">
        <v>127019</v>
      </c>
      <c r="AG171">
        <v>139992</v>
      </c>
      <c r="AH171">
        <v>149189</v>
      </c>
      <c r="AI171">
        <v>154256</v>
      </c>
      <c r="AJ171">
        <v>151138</v>
      </c>
      <c r="AK171">
        <v>166848</v>
      </c>
      <c r="AL171">
        <v>169363</v>
      </c>
    </row>
    <row r="172" spans="1:38">
      <c r="B172" t="s">
        <v>7</v>
      </c>
      <c r="C172">
        <v>164947</v>
      </c>
      <c r="D172">
        <v>171428</v>
      </c>
      <c r="E172">
        <v>179810</v>
      </c>
      <c r="F172">
        <v>182182</v>
      </c>
      <c r="G172">
        <v>173349</v>
      </c>
      <c r="H172">
        <v>193314</v>
      </c>
      <c r="I172">
        <v>212336</v>
      </c>
      <c r="J172">
        <v>212249</v>
      </c>
      <c r="K172">
        <v>231600</v>
      </c>
      <c r="L172">
        <v>238115</v>
      </c>
      <c r="M172">
        <v>238747</v>
      </c>
      <c r="N172">
        <v>252451</v>
      </c>
      <c r="O172">
        <v>3605</v>
      </c>
      <c r="P172">
        <v>3612</v>
      </c>
      <c r="Q172">
        <v>3433</v>
      </c>
      <c r="R172">
        <v>2945</v>
      </c>
      <c r="S172">
        <v>2245</v>
      </c>
      <c r="T172">
        <v>1932</v>
      </c>
      <c r="U172">
        <v>1752</v>
      </c>
      <c r="V172">
        <v>1568</v>
      </c>
      <c r="W172">
        <v>1517</v>
      </c>
      <c r="X172">
        <v>1484</v>
      </c>
      <c r="Y172">
        <v>1329</v>
      </c>
      <c r="Z172">
        <v>1306</v>
      </c>
      <c r="AA172">
        <v>168552</v>
      </c>
      <c r="AB172">
        <v>175040</v>
      </c>
      <c r="AC172">
        <v>183243</v>
      </c>
      <c r="AD172">
        <v>185127</v>
      </c>
      <c r="AE172">
        <v>175594</v>
      </c>
      <c r="AF172">
        <v>195246</v>
      </c>
      <c r="AG172">
        <v>214088</v>
      </c>
      <c r="AH172">
        <v>213817</v>
      </c>
      <c r="AI172">
        <v>233117</v>
      </c>
      <c r="AJ172">
        <v>239599</v>
      </c>
      <c r="AK172">
        <v>240076</v>
      </c>
      <c r="AL172">
        <v>253757</v>
      </c>
    </row>
    <row r="173" spans="1:38">
      <c r="B173" t="s">
        <v>8</v>
      </c>
      <c r="C173">
        <v>85504</v>
      </c>
      <c r="D173">
        <v>90899</v>
      </c>
      <c r="E173">
        <v>95754</v>
      </c>
      <c r="F173">
        <v>94517</v>
      </c>
      <c r="G173">
        <v>84142</v>
      </c>
      <c r="H173">
        <v>88135</v>
      </c>
      <c r="I173">
        <v>91627</v>
      </c>
      <c r="J173">
        <v>85697</v>
      </c>
      <c r="K173">
        <v>90086</v>
      </c>
      <c r="L173">
        <v>92642</v>
      </c>
      <c r="M173">
        <v>84314</v>
      </c>
      <c r="N173">
        <v>84719</v>
      </c>
      <c r="O173">
        <v>897</v>
      </c>
      <c r="P173">
        <v>900</v>
      </c>
      <c r="Q173">
        <v>857</v>
      </c>
      <c r="R173">
        <v>650</v>
      </c>
      <c r="S173">
        <v>435</v>
      </c>
      <c r="T173">
        <v>359</v>
      </c>
      <c r="U173">
        <v>299</v>
      </c>
      <c r="V173">
        <v>267</v>
      </c>
      <c r="W173">
        <v>256</v>
      </c>
      <c r="X173">
        <v>247</v>
      </c>
      <c r="Y173">
        <v>197</v>
      </c>
      <c r="Z173">
        <v>180</v>
      </c>
      <c r="AA173">
        <v>86401</v>
      </c>
      <c r="AB173">
        <v>91799</v>
      </c>
      <c r="AC173">
        <v>96611</v>
      </c>
      <c r="AD173">
        <v>95167</v>
      </c>
      <c r="AE173">
        <v>84577</v>
      </c>
      <c r="AF173">
        <v>88494</v>
      </c>
      <c r="AG173">
        <v>91926</v>
      </c>
      <c r="AH173">
        <v>85964</v>
      </c>
      <c r="AI173">
        <v>90342</v>
      </c>
      <c r="AJ173">
        <v>92889</v>
      </c>
      <c r="AK173">
        <v>84511</v>
      </c>
      <c r="AL173">
        <v>84899</v>
      </c>
    </row>
    <row r="174" spans="1:38">
      <c r="B174" t="s">
        <v>9</v>
      </c>
      <c r="C174">
        <v>43342</v>
      </c>
      <c r="D174">
        <v>47005</v>
      </c>
      <c r="E174">
        <v>48636</v>
      </c>
      <c r="F174">
        <v>40739</v>
      </c>
      <c r="G174">
        <v>32121</v>
      </c>
      <c r="H174">
        <v>32462</v>
      </c>
      <c r="I174">
        <v>33536</v>
      </c>
      <c r="J174">
        <v>30991</v>
      </c>
      <c r="K174">
        <v>31886</v>
      </c>
      <c r="L174">
        <v>32138</v>
      </c>
      <c r="M174">
        <v>29269</v>
      </c>
      <c r="N174">
        <v>30826</v>
      </c>
      <c r="O174">
        <v>256</v>
      </c>
      <c r="P174">
        <v>262</v>
      </c>
      <c r="Q174">
        <v>234</v>
      </c>
      <c r="R174">
        <v>162</v>
      </c>
      <c r="S174">
        <v>96</v>
      </c>
      <c r="T174">
        <v>74</v>
      </c>
      <c r="U174">
        <v>67</v>
      </c>
      <c r="V174">
        <v>55</v>
      </c>
      <c r="W174">
        <v>50</v>
      </c>
      <c r="X174">
        <v>47</v>
      </c>
      <c r="Y174">
        <v>32</v>
      </c>
      <c r="Z174">
        <v>25</v>
      </c>
      <c r="AA174">
        <v>43598</v>
      </c>
      <c r="AB174">
        <v>47267</v>
      </c>
      <c r="AC174">
        <v>48870</v>
      </c>
      <c r="AD174">
        <v>40901</v>
      </c>
      <c r="AE174">
        <v>32217</v>
      </c>
      <c r="AF174">
        <v>32536</v>
      </c>
      <c r="AG174">
        <v>33603</v>
      </c>
      <c r="AH174">
        <v>31046</v>
      </c>
      <c r="AI174">
        <v>31936</v>
      </c>
      <c r="AJ174">
        <v>32185</v>
      </c>
      <c r="AK174">
        <v>29301</v>
      </c>
      <c r="AL174">
        <v>30851</v>
      </c>
    </row>
    <row r="175" spans="1:38">
      <c r="B175" t="s">
        <v>10</v>
      </c>
      <c r="C175">
        <v>20325</v>
      </c>
      <c r="D175">
        <v>21928</v>
      </c>
      <c r="E175">
        <v>22721</v>
      </c>
      <c r="F175">
        <v>21227</v>
      </c>
      <c r="G175">
        <v>17980</v>
      </c>
      <c r="H175">
        <v>20134</v>
      </c>
      <c r="I175">
        <v>21896</v>
      </c>
      <c r="J175">
        <v>22119</v>
      </c>
      <c r="K175">
        <v>22574</v>
      </c>
      <c r="L175">
        <v>22194</v>
      </c>
      <c r="M175">
        <v>21633</v>
      </c>
      <c r="N175">
        <v>21528</v>
      </c>
      <c r="O175">
        <v>80</v>
      </c>
      <c r="P175">
        <v>80</v>
      </c>
      <c r="Q175">
        <v>85</v>
      </c>
      <c r="R175">
        <v>50</v>
      </c>
      <c r="S175">
        <v>33</v>
      </c>
      <c r="T175">
        <v>23</v>
      </c>
      <c r="U175">
        <v>17</v>
      </c>
      <c r="V175">
        <v>14</v>
      </c>
      <c r="W175">
        <v>12</v>
      </c>
      <c r="X175">
        <v>11</v>
      </c>
      <c r="Y175">
        <v>10</v>
      </c>
      <c r="Z175">
        <v>11</v>
      </c>
      <c r="AA175">
        <v>20405</v>
      </c>
      <c r="AB175">
        <v>22008</v>
      </c>
      <c r="AC175">
        <v>22806</v>
      </c>
      <c r="AD175">
        <v>21277</v>
      </c>
      <c r="AE175">
        <v>18013</v>
      </c>
      <c r="AF175">
        <v>20157</v>
      </c>
      <c r="AG175">
        <v>21913</v>
      </c>
      <c r="AH175">
        <v>22133</v>
      </c>
      <c r="AI175">
        <v>22586</v>
      </c>
      <c r="AJ175">
        <v>22205</v>
      </c>
      <c r="AK175">
        <v>21643</v>
      </c>
      <c r="AL175">
        <v>21539</v>
      </c>
    </row>
    <row r="176" spans="1:38">
      <c r="B176" t="s">
        <v>11</v>
      </c>
      <c r="C176">
        <v>14091</v>
      </c>
      <c r="D176">
        <v>14989</v>
      </c>
      <c r="E176">
        <v>15850</v>
      </c>
      <c r="F176">
        <v>16851</v>
      </c>
      <c r="G176">
        <v>16923</v>
      </c>
      <c r="H176">
        <v>17929</v>
      </c>
      <c r="I176">
        <v>16880</v>
      </c>
      <c r="J176">
        <v>12810</v>
      </c>
      <c r="K176">
        <v>12205</v>
      </c>
      <c r="L176">
        <v>12540</v>
      </c>
      <c r="M176">
        <v>7423</v>
      </c>
      <c r="N176">
        <v>6003</v>
      </c>
      <c r="O176">
        <v>33</v>
      </c>
      <c r="P176">
        <v>32</v>
      </c>
      <c r="Q176">
        <v>30</v>
      </c>
      <c r="R176">
        <v>19</v>
      </c>
      <c r="S176">
        <v>9</v>
      </c>
      <c r="T176">
        <v>9</v>
      </c>
      <c r="U176">
        <v>8</v>
      </c>
      <c r="V176">
        <v>3</v>
      </c>
      <c r="W176">
        <v>3</v>
      </c>
      <c r="X176">
        <v>4</v>
      </c>
      <c r="Y176">
        <v>1</v>
      </c>
      <c r="Z176">
        <v>0</v>
      </c>
      <c r="AA176">
        <v>14124</v>
      </c>
      <c r="AB176">
        <v>15021</v>
      </c>
      <c r="AC176">
        <v>15880</v>
      </c>
      <c r="AD176">
        <v>16870</v>
      </c>
      <c r="AE176">
        <v>16932</v>
      </c>
      <c r="AF176">
        <v>17938</v>
      </c>
      <c r="AG176">
        <v>16888</v>
      </c>
      <c r="AH176">
        <v>12813</v>
      </c>
      <c r="AI176">
        <v>12208</v>
      </c>
      <c r="AJ176">
        <v>12544</v>
      </c>
      <c r="AK176">
        <v>7424</v>
      </c>
      <c r="AL176">
        <v>6003</v>
      </c>
    </row>
    <row r="177" spans="1:38">
      <c r="B177" t="s">
        <v>12</v>
      </c>
      <c r="C177">
        <v>12481</v>
      </c>
      <c r="D177">
        <v>13159</v>
      </c>
      <c r="E177">
        <v>15531</v>
      </c>
      <c r="F177">
        <v>15274</v>
      </c>
      <c r="G177">
        <v>7963</v>
      </c>
      <c r="H177">
        <v>4271</v>
      </c>
      <c r="I177">
        <v>3306</v>
      </c>
      <c r="J177">
        <v>1558</v>
      </c>
      <c r="K177">
        <v>1300</v>
      </c>
      <c r="L177">
        <v>1317</v>
      </c>
      <c r="M177">
        <v>965</v>
      </c>
      <c r="N177">
        <v>751</v>
      </c>
      <c r="O177">
        <v>10</v>
      </c>
      <c r="P177">
        <v>11</v>
      </c>
      <c r="Q177">
        <v>11</v>
      </c>
      <c r="R177">
        <v>10</v>
      </c>
      <c r="S177">
        <v>2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12491</v>
      </c>
      <c r="AB177">
        <v>13170</v>
      </c>
      <c r="AC177">
        <v>15542</v>
      </c>
      <c r="AD177">
        <v>15284</v>
      </c>
      <c r="AE177">
        <v>7965</v>
      </c>
      <c r="AF177">
        <v>4271</v>
      </c>
      <c r="AG177">
        <v>3306</v>
      </c>
      <c r="AH177">
        <v>1558</v>
      </c>
      <c r="AI177">
        <v>1300</v>
      </c>
      <c r="AJ177">
        <v>1317</v>
      </c>
      <c r="AK177">
        <v>965</v>
      </c>
      <c r="AL177">
        <v>751</v>
      </c>
    </row>
    <row r="178" spans="1:38">
      <c r="B178" t="s">
        <v>13</v>
      </c>
      <c r="C178">
        <v>8025</v>
      </c>
      <c r="D178">
        <v>9811</v>
      </c>
      <c r="E178">
        <v>8695</v>
      </c>
      <c r="F178">
        <v>2639</v>
      </c>
      <c r="G178">
        <v>872</v>
      </c>
      <c r="H178">
        <v>738</v>
      </c>
      <c r="I178">
        <v>827</v>
      </c>
      <c r="J178">
        <v>472</v>
      </c>
      <c r="K178">
        <v>431</v>
      </c>
      <c r="L178">
        <v>417</v>
      </c>
      <c r="M178">
        <v>366</v>
      </c>
      <c r="N178">
        <v>336</v>
      </c>
      <c r="O178">
        <v>6</v>
      </c>
      <c r="P178">
        <v>4</v>
      </c>
      <c r="Q178">
        <v>2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8031</v>
      </c>
      <c r="AB178">
        <v>9815</v>
      </c>
      <c r="AC178">
        <v>8697</v>
      </c>
      <c r="AD178">
        <v>2639</v>
      </c>
      <c r="AE178">
        <v>872</v>
      </c>
      <c r="AF178">
        <v>738</v>
      </c>
      <c r="AG178">
        <v>827</v>
      </c>
      <c r="AH178">
        <v>472</v>
      </c>
      <c r="AI178">
        <v>431</v>
      </c>
      <c r="AJ178">
        <v>417</v>
      </c>
      <c r="AK178">
        <v>366</v>
      </c>
      <c r="AL178">
        <v>336</v>
      </c>
    </row>
    <row r="179" spans="1:38">
      <c r="B179" t="s">
        <v>14</v>
      </c>
      <c r="C179">
        <v>633</v>
      </c>
      <c r="D179">
        <v>629</v>
      </c>
      <c r="E179">
        <v>863</v>
      </c>
      <c r="F179">
        <v>697</v>
      </c>
      <c r="G179">
        <v>529</v>
      </c>
      <c r="H179">
        <v>416</v>
      </c>
      <c r="I179">
        <v>317</v>
      </c>
      <c r="J179">
        <v>333</v>
      </c>
      <c r="K179">
        <v>299</v>
      </c>
      <c r="L179">
        <v>291</v>
      </c>
      <c r="M179">
        <v>159</v>
      </c>
      <c r="N179">
        <v>148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633</v>
      </c>
      <c r="AB179">
        <v>629</v>
      </c>
      <c r="AC179">
        <v>863</v>
      </c>
      <c r="AD179">
        <v>697</v>
      </c>
      <c r="AE179">
        <v>529</v>
      </c>
      <c r="AF179">
        <v>416</v>
      </c>
      <c r="AG179">
        <v>317</v>
      </c>
      <c r="AH179">
        <v>333</v>
      </c>
      <c r="AI179">
        <v>299</v>
      </c>
      <c r="AJ179">
        <v>291</v>
      </c>
      <c r="AK179">
        <v>159</v>
      </c>
      <c r="AL179">
        <v>148</v>
      </c>
    </row>
    <row r="180" spans="1:38">
      <c r="B180" t="s">
        <v>15</v>
      </c>
      <c r="C180">
        <v>634</v>
      </c>
      <c r="D180">
        <v>616</v>
      </c>
      <c r="E180">
        <v>615</v>
      </c>
      <c r="F180">
        <v>454</v>
      </c>
      <c r="G180">
        <v>290</v>
      </c>
      <c r="H180">
        <v>293</v>
      </c>
      <c r="I180">
        <v>203</v>
      </c>
      <c r="J180">
        <v>144</v>
      </c>
      <c r="K180">
        <v>125</v>
      </c>
      <c r="L180">
        <v>124</v>
      </c>
      <c r="M180">
        <v>43</v>
      </c>
      <c r="N180">
        <v>34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634</v>
      </c>
      <c r="AB180">
        <v>616</v>
      </c>
      <c r="AC180">
        <v>615</v>
      </c>
      <c r="AD180">
        <v>454</v>
      </c>
      <c r="AE180">
        <v>290</v>
      </c>
      <c r="AF180">
        <v>293</v>
      </c>
      <c r="AG180">
        <v>203</v>
      </c>
      <c r="AH180">
        <v>144</v>
      </c>
      <c r="AI180">
        <v>125</v>
      </c>
      <c r="AJ180">
        <v>124</v>
      </c>
      <c r="AK180">
        <v>43</v>
      </c>
      <c r="AL180">
        <v>34</v>
      </c>
    </row>
    <row r="181" spans="1:38">
      <c r="B181" t="s">
        <v>16</v>
      </c>
      <c r="C181">
        <v>1150</v>
      </c>
      <c r="D181">
        <v>1139</v>
      </c>
      <c r="E181">
        <v>983</v>
      </c>
      <c r="F181">
        <v>638</v>
      </c>
      <c r="G181">
        <v>359</v>
      </c>
      <c r="H181">
        <v>237</v>
      </c>
      <c r="I181">
        <v>196</v>
      </c>
      <c r="J181">
        <v>105</v>
      </c>
      <c r="K181">
        <v>95</v>
      </c>
      <c r="L181">
        <v>94</v>
      </c>
      <c r="M181">
        <v>65</v>
      </c>
      <c r="N181">
        <v>57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1150</v>
      </c>
      <c r="AB181">
        <v>1139</v>
      </c>
      <c r="AC181">
        <v>983</v>
      </c>
      <c r="AD181">
        <v>638</v>
      </c>
      <c r="AE181">
        <v>359</v>
      </c>
      <c r="AF181">
        <v>237</v>
      </c>
      <c r="AG181">
        <v>196</v>
      </c>
      <c r="AH181">
        <v>105</v>
      </c>
      <c r="AI181">
        <v>95</v>
      </c>
      <c r="AJ181">
        <v>94</v>
      </c>
      <c r="AK181">
        <v>65</v>
      </c>
      <c r="AL181">
        <v>57</v>
      </c>
    </row>
    <row r="182" spans="1:38">
      <c r="B182" t="s">
        <v>17</v>
      </c>
      <c r="C182">
        <v>14</v>
      </c>
      <c r="D182">
        <v>13</v>
      </c>
      <c r="E182">
        <v>12</v>
      </c>
      <c r="F182">
        <v>11</v>
      </c>
      <c r="G182">
        <v>5</v>
      </c>
      <c r="H182">
        <v>5</v>
      </c>
      <c r="I182">
        <v>1</v>
      </c>
      <c r="J182">
        <v>1</v>
      </c>
      <c r="K182">
        <v>1</v>
      </c>
      <c r="L182">
        <v>1</v>
      </c>
      <c r="M182">
        <v>1</v>
      </c>
      <c r="N182">
        <v>1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14</v>
      </c>
      <c r="AB182">
        <v>13</v>
      </c>
      <c r="AC182">
        <v>12</v>
      </c>
      <c r="AD182">
        <v>11</v>
      </c>
      <c r="AE182">
        <v>5</v>
      </c>
      <c r="AF182">
        <v>5</v>
      </c>
      <c r="AG182">
        <v>1</v>
      </c>
      <c r="AH182">
        <v>1</v>
      </c>
      <c r="AI182">
        <v>1</v>
      </c>
      <c r="AJ182">
        <v>1</v>
      </c>
      <c r="AK182">
        <v>1</v>
      </c>
      <c r="AL182">
        <v>1</v>
      </c>
    </row>
    <row r="183" spans="1:38">
      <c r="A183" t="s">
        <v>90</v>
      </c>
      <c r="B183" t="s">
        <v>3</v>
      </c>
      <c r="C183">
        <v>114330</v>
      </c>
      <c r="D183">
        <v>120104</v>
      </c>
      <c r="E183">
        <v>126855</v>
      </c>
      <c r="F183">
        <v>133915</v>
      </c>
      <c r="G183">
        <v>137414</v>
      </c>
      <c r="H183">
        <v>139093</v>
      </c>
      <c r="I183">
        <v>143545</v>
      </c>
      <c r="J183">
        <v>149653</v>
      </c>
      <c r="K183">
        <v>155716</v>
      </c>
      <c r="L183">
        <v>162572</v>
      </c>
      <c r="M183">
        <v>169944</v>
      </c>
      <c r="N183">
        <v>177088</v>
      </c>
      <c r="O183">
        <v>9176</v>
      </c>
      <c r="P183">
        <v>9480</v>
      </c>
      <c r="Q183">
        <v>9580</v>
      </c>
      <c r="R183">
        <v>9745</v>
      </c>
      <c r="S183">
        <v>9691</v>
      </c>
      <c r="T183">
        <v>9608</v>
      </c>
      <c r="U183">
        <v>9715</v>
      </c>
      <c r="V183">
        <v>10113</v>
      </c>
      <c r="W183">
        <v>10623</v>
      </c>
      <c r="X183">
        <v>11187</v>
      </c>
      <c r="Y183">
        <v>11655</v>
      </c>
      <c r="Z183">
        <v>12073</v>
      </c>
      <c r="AA183">
        <v>123506</v>
      </c>
      <c r="AB183">
        <v>129584</v>
      </c>
      <c r="AC183">
        <v>136435</v>
      </c>
      <c r="AD183">
        <v>143660</v>
      </c>
      <c r="AE183">
        <v>147105</v>
      </c>
      <c r="AF183">
        <v>148701</v>
      </c>
      <c r="AG183">
        <v>153260</v>
      </c>
      <c r="AH183">
        <v>159766</v>
      </c>
      <c r="AI183">
        <v>166339</v>
      </c>
      <c r="AJ183">
        <v>173759</v>
      </c>
      <c r="AK183">
        <v>181599</v>
      </c>
      <c r="AL183">
        <v>189161</v>
      </c>
    </row>
    <row r="184" spans="1:38">
      <c r="B184" t="s">
        <v>5</v>
      </c>
      <c r="C184">
        <v>2987</v>
      </c>
      <c r="D184">
        <v>3133</v>
      </c>
      <c r="E184">
        <v>3370</v>
      </c>
      <c r="F184">
        <v>3714</v>
      </c>
      <c r="G184">
        <v>4153</v>
      </c>
      <c r="H184">
        <v>4246</v>
      </c>
      <c r="I184">
        <v>4493</v>
      </c>
      <c r="J184">
        <v>4931</v>
      </c>
      <c r="K184">
        <v>5099</v>
      </c>
      <c r="L184">
        <v>5245</v>
      </c>
      <c r="M184">
        <v>5495</v>
      </c>
      <c r="N184">
        <v>5686</v>
      </c>
      <c r="O184">
        <v>100</v>
      </c>
      <c r="P184">
        <v>114</v>
      </c>
      <c r="Q184">
        <v>122</v>
      </c>
      <c r="R184">
        <v>137</v>
      </c>
      <c r="S184">
        <v>149</v>
      </c>
      <c r="T184">
        <v>175</v>
      </c>
      <c r="U184">
        <v>154</v>
      </c>
      <c r="V184">
        <v>191</v>
      </c>
      <c r="W184">
        <v>190</v>
      </c>
      <c r="X184">
        <v>189</v>
      </c>
      <c r="Y184">
        <v>183</v>
      </c>
      <c r="Z184">
        <v>174</v>
      </c>
      <c r="AA184">
        <v>3087</v>
      </c>
      <c r="AB184">
        <v>3247</v>
      </c>
      <c r="AC184">
        <v>3492</v>
      </c>
      <c r="AD184">
        <v>3851</v>
      </c>
      <c r="AE184">
        <v>4302</v>
      </c>
      <c r="AF184">
        <v>4421</v>
      </c>
      <c r="AG184">
        <v>4647</v>
      </c>
      <c r="AH184">
        <v>5122</v>
      </c>
      <c r="AI184">
        <v>5289</v>
      </c>
      <c r="AJ184">
        <v>5434</v>
      </c>
      <c r="AK184">
        <v>5678</v>
      </c>
      <c r="AL184">
        <v>5860</v>
      </c>
    </row>
    <row r="185" spans="1:38">
      <c r="B185" t="s">
        <v>6</v>
      </c>
      <c r="C185">
        <v>33156</v>
      </c>
      <c r="D185">
        <v>32617</v>
      </c>
      <c r="E185">
        <v>33566</v>
      </c>
      <c r="F185">
        <v>37357</v>
      </c>
      <c r="G185">
        <v>42086</v>
      </c>
      <c r="H185">
        <v>44114</v>
      </c>
      <c r="I185">
        <v>45859</v>
      </c>
      <c r="J185">
        <v>48982</v>
      </c>
      <c r="K185">
        <v>49402</v>
      </c>
      <c r="L185">
        <v>49460</v>
      </c>
      <c r="M185">
        <v>55014</v>
      </c>
      <c r="N185">
        <v>56031</v>
      </c>
      <c r="O185">
        <v>7778</v>
      </c>
      <c r="P185">
        <v>7803</v>
      </c>
      <c r="Q185">
        <v>7815</v>
      </c>
      <c r="R185">
        <v>8014</v>
      </c>
      <c r="S185">
        <v>8189</v>
      </c>
      <c r="T185">
        <v>8203</v>
      </c>
      <c r="U185">
        <v>8425</v>
      </c>
      <c r="V185">
        <v>8900</v>
      </c>
      <c r="W185">
        <v>9446</v>
      </c>
      <c r="X185">
        <v>10039</v>
      </c>
      <c r="Y185">
        <v>10636</v>
      </c>
      <c r="Z185">
        <v>11088</v>
      </c>
      <c r="AA185">
        <v>40934</v>
      </c>
      <c r="AB185">
        <v>40420</v>
      </c>
      <c r="AC185">
        <v>41381</v>
      </c>
      <c r="AD185">
        <v>45371</v>
      </c>
      <c r="AE185">
        <v>50275</v>
      </c>
      <c r="AF185">
        <v>52317</v>
      </c>
      <c r="AG185">
        <v>54284</v>
      </c>
      <c r="AH185">
        <v>57882</v>
      </c>
      <c r="AI185">
        <v>58848</v>
      </c>
      <c r="AJ185">
        <v>59499</v>
      </c>
      <c r="AK185">
        <v>65650</v>
      </c>
      <c r="AL185">
        <v>67119</v>
      </c>
    </row>
    <row r="186" spans="1:38">
      <c r="B186" t="s">
        <v>7</v>
      </c>
      <c r="C186">
        <v>35312</v>
      </c>
      <c r="D186">
        <v>36588</v>
      </c>
      <c r="E186">
        <v>38035</v>
      </c>
      <c r="F186">
        <v>39614</v>
      </c>
      <c r="G186">
        <v>40716</v>
      </c>
      <c r="H186">
        <v>41304</v>
      </c>
      <c r="I186">
        <v>42845</v>
      </c>
      <c r="J186">
        <v>45437</v>
      </c>
      <c r="K186">
        <v>48769</v>
      </c>
      <c r="L186">
        <v>52078</v>
      </c>
      <c r="M186">
        <v>55211</v>
      </c>
      <c r="N186">
        <v>58709</v>
      </c>
      <c r="O186">
        <v>1001</v>
      </c>
      <c r="P186">
        <v>1193</v>
      </c>
      <c r="Q186">
        <v>1260</v>
      </c>
      <c r="R186">
        <v>1231</v>
      </c>
      <c r="S186">
        <v>1080</v>
      </c>
      <c r="T186">
        <v>1001</v>
      </c>
      <c r="U186">
        <v>938</v>
      </c>
      <c r="V186">
        <v>847</v>
      </c>
      <c r="W186">
        <v>823</v>
      </c>
      <c r="X186">
        <v>802</v>
      </c>
      <c r="Y186">
        <v>716</v>
      </c>
      <c r="Z186">
        <v>700</v>
      </c>
      <c r="AA186">
        <v>36313</v>
      </c>
      <c r="AB186">
        <v>37781</v>
      </c>
      <c r="AC186">
        <v>39295</v>
      </c>
      <c r="AD186">
        <v>40845</v>
      </c>
      <c r="AE186">
        <v>41796</v>
      </c>
      <c r="AF186">
        <v>42305</v>
      </c>
      <c r="AG186">
        <v>43783</v>
      </c>
      <c r="AH186">
        <v>46284</v>
      </c>
      <c r="AI186">
        <v>49592</v>
      </c>
      <c r="AJ186">
        <v>52880</v>
      </c>
      <c r="AK186">
        <v>55927</v>
      </c>
      <c r="AL186">
        <v>59409</v>
      </c>
    </row>
    <row r="187" spans="1:38">
      <c r="B187" t="s">
        <v>8</v>
      </c>
      <c r="C187">
        <v>17221</v>
      </c>
      <c r="D187">
        <v>18751</v>
      </c>
      <c r="E187">
        <v>20041</v>
      </c>
      <c r="F187">
        <v>20784</v>
      </c>
      <c r="G187">
        <v>20302</v>
      </c>
      <c r="H187">
        <v>20115</v>
      </c>
      <c r="I187">
        <v>20689</v>
      </c>
      <c r="J187">
        <v>21160</v>
      </c>
      <c r="K187">
        <v>22222</v>
      </c>
      <c r="L187">
        <v>23909</v>
      </c>
      <c r="M187">
        <v>24354</v>
      </c>
      <c r="N187">
        <v>26122</v>
      </c>
      <c r="O187">
        <v>211</v>
      </c>
      <c r="P187">
        <v>261</v>
      </c>
      <c r="Q187">
        <v>265</v>
      </c>
      <c r="R187">
        <v>260</v>
      </c>
      <c r="S187">
        <v>201</v>
      </c>
      <c r="T187">
        <v>172</v>
      </c>
      <c r="U187">
        <v>145</v>
      </c>
      <c r="V187">
        <v>132</v>
      </c>
      <c r="W187">
        <v>123</v>
      </c>
      <c r="X187">
        <v>119</v>
      </c>
      <c r="Y187">
        <v>95</v>
      </c>
      <c r="Z187">
        <v>90</v>
      </c>
      <c r="AA187">
        <v>17432</v>
      </c>
      <c r="AB187">
        <v>19012</v>
      </c>
      <c r="AC187">
        <v>20306</v>
      </c>
      <c r="AD187">
        <v>21044</v>
      </c>
      <c r="AE187">
        <v>20503</v>
      </c>
      <c r="AF187">
        <v>20287</v>
      </c>
      <c r="AG187">
        <v>20834</v>
      </c>
      <c r="AH187">
        <v>21292</v>
      </c>
      <c r="AI187">
        <v>22345</v>
      </c>
      <c r="AJ187">
        <v>24028</v>
      </c>
      <c r="AK187">
        <v>24449</v>
      </c>
      <c r="AL187">
        <v>26212</v>
      </c>
    </row>
    <row r="188" spans="1:38">
      <c r="B188" t="s">
        <v>9</v>
      </c>
      <c r="C188">
        <v>8653</v>
      </c>
      <c r="D188">
        <v>9610</v>
      </c>
      <c r="E188">
        <v>10575</v>
      </c>
      <c r="F188">
        <v>10972</v>
      </c>
      <c r="G188">
        <v>10819</v>
      </c>
      <c r="H188">
        <v>10865</v>
      </c>
      <c r="I188">
        <v>11325</v>
      </c>
      <c r="J188">
        <v>11880</v>
      </c>
      <c r="K188">
        <v>12626</v>
      </c>
      <c r="L188">
        <v>13449</v>
      </c>
      <c r="M188">
        <v>13780</v>
      </c>
      <c r="N188">
        <v>15422</v>
      </c>
      <c r="O188">
        <v>51</v>
      </c>
      <c r="P188">
        <v>67</v>
      </c>
      <c r="Q188">
        <v>77</v>
      </c>
      <c r="R188">
        <v>68</v>
      </c>
      <c r="S188">
        <v>50</v>
      </c>
      <c r="T188">
        <v>42</v>
      </c>
      <c r="U188">
        <v>41</v>
      </c>
      <c r="V188">
        <v>36</v>
      </c>
      <c r="W188">
        <v>34</v>
      </c>
      <c r="X188">
        <v>31</v>
      </c>
      <c r="Y188">
        <v>21</v>
      </c>
      <c r="Z188">
        <v>16</v>
      </c>
      <c r="AA188">
        <v>8704</v>
      </c>
      <c r="AB188">
        <v>9677</v>
      </c>
      <c r="AC188">
        <v>10652</v>
      </c>
      <c r="AD188">
        <v>11040</v>
      </c>
      <c r="AE188">
        <v>10869</v>
      </c>
      <c r="AF188">
        <v>10907</v>
      </c>
      <c r="AG188">
        <v>11366</v>
      </c>
      <c r="AH188">
        <v>11916</v>
      </c>
      <c r="AI188">
        <v>12660</v>
      </c>
      <c r="AJ188">
        <v>13480</v>
      </c>
      <c r="AK188">
        <v>13801</v>
      </c>
      <c r="AL188">
        <v>15438</v>
      </c>
    </row>
    <row r="189" spans="1:38">
      <c r="B189" t="s">
        <v>10</v>
      </c>
      <c r="C189">
        <v>5560</v>
      </c>
      <c r="D189">
        <v>6199</v>
      </c>
      <c r="E189">
        <v>6600</v>
      </c>
      <c r="F189">
        <v>7288</v>
      </c>
      <c r="G189">
        <v>7576</v>
      </c>
      <c r="H189">
        <v>8969</v>
      </c>
      <c r="I189">
        <v>10023</v>
      </c>
      <c r="J189">
        <v>11040</v>
      </c>
      <c r="K189">
        <v>11246</v>
      </c>
      <c r="L189">
        <v>11390</v>
      </c>
      <c r="M189">
        <v>11519</v>
      </c>
      <c r="N189">
        <v>11433</v>
      </c>
      <c r="O189">
        <v>20</v>
      </c>
      <c r="P189">
        <v>26</v>
      </c>
      <c r="Q189">
        <v>27</v>
      </c>
      <c r="R189">
        <v>27</v>
      </c>
      <c r="S189">
        <v>19</v>
      </c>
      <c r="T189">
        <v>12</v>
      </c>
      <c r="U189">
        <v>8</v>
      </c>
      <c r="V189">
        <v>6</v>
      </c>
      <c r="W189">
        <v>6</v>
      </c>
      <c r="X189">
        <v>5</v>
      </c>
      <c r="Y189">
        <v>3</v>
      </c>
      <c r="Z189">
        <v>5</v>
      </c>
      <c r="AA189">
        <v>5580</v>
      </c>
      <c r="AB189">
        <v>6225</v>
      </c>
      <c r="AC189">
        <v>6627</v>
      </c>
      <c r="AD189">
        <v>7315</v>
      </c>
      <c r="AE189">
        <v>7595</v>
      </c>
      <c r="AF189">
        <v>8981</v>
      </c>
      <c r="AG189">
        <v>10031</v>
      </c>
      <c r="AH189">
        <v>11046</v>
      </c>
      <c r="AI189">
        <v>11252</v>
      </c>
      <c r="AJ189">
        <v>11395</v>
      </c>
      <c r="AK189">
        <v>11522</v>
      </c>
      <c r="AL189">
        <v>11438</v>
      </c>
    </row>
    <row r="190" spans="1:38">
      <c r="B190" t="s">
        <v>11</v>
      </c>
      <c r="C190">
        <v>4277</v>
      </c>
      <c r="D190">
        <v>4867</v>
      </c>
      <c r="E190">
        <v>5426</v>
      </c>
      <c r="F190">
        <v>7563</v>
      </c>
      <c r="G190">
        <v>8076</v>
      </c>
      <c r="H190">
        <v>7546</v>
      </c>
      <c r="I190">
        <v>6684</v>
      </c>
      <c r="J190">
        <v>5395</v>
      </c>
      <c r="K190">
        <v>5750</v>
      </c>
      <c r="L190">
        <v>6393</v>
      </c>
      <c r="M190">
        <v>4152</v>
      </c>
      <c r="N190">
        <v>3318</v>
      </c>
      <c r="O190">
        <v>11</v>
      </c>
      <c r="P190">
        <v>12</v>
      </c>
      <c r="Q190">
        <v>11</v>
      </c>
      <c r="R190">
        <v>5</v>
      </c>
      <c r="S190">
        <v>3</v>
      </c>
      <c r="T190">
        <v>3</v>
      </c>
      <c r="U190">
        <v>4</v>
      </c>
      <c r="V190">
        <v>1</v>
      </c>
      <c r="W190">
        <v>1</v>
      </c>
      <c r="X190">
        <v>2</v>
      </c>
      <c r="Y190">
        <v>1</v>
      </c>
      <c r="Z190">
        <v>0</v>
      </c>
      <c r="AA190">
        <v>4288</v>
      </c>
      <c r="AB190">
        <v>4879</v>
      </c>
      <c r="AC190">
        <v>5437</v>
      </c>
      <c r="AD190">
        <v>7568</v>
      </c>
      <c r="AE190">
        <v>8079</v>
      </c>
      <c r="AF190">
        <v>7549</v>
      </c>
      <c r="AG190">
        <v>6688</v>
      </c>
      <c r="AH190">
        <v>5396</v>
      </c>
      <c r="AI190">
        <v>5751</v>
      </c>
      <c r="AJ190">
        <v>6395</v>
      </c>
      <c r="AK190">
        <v>4153</v>
      </c>
      <c r="AL190">
        <v>3318</v>
      </c>
    </row>
    <row r="191" spans="1:38">
      <c r="B191" t="s">
        <v>12</v>
      </c>
      <c r="C191">
        <v>4979</v>
      </c>
      <c r="D191">
        <v>5483</v>
      </c>
      <c r="E191">
        <v>6381</v>
      </c>
      <c r="F191">
        <v>5117</v>
      </c>
      <c r="G191">
        <v>3225</v>
      </c>
      <c r="H191">
        <v>1591</v>
      </c>
      <c r="I191">
        <v>1298</v>
      </c>
      <c r="J191">
        <v>660</v>
      </c>
      <c r="K191">
        <v>460</v>
      </c>
      <c r="L191">
        <v>512</v>
      </c>
      <c r="M191">
        <v>325</v>
      </c>
      <c r="N191">
        <v>283</v>
      </c>
      <c r="O191">
        <v>1</v>
      </c>
      <c r="P191">
        <v>2</v>
      </c>
      <c r="Q191">
        <v>3</v>
      </c>
      <c r="R191">
        <v>3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4980</v>
      </c>
      <c r="AB191">
        <v>5485</v>
      </c>
      <c r="AC191">
        <v>6384</v>
      </c>
      <c r="AD191">
        <v>5120</v>
      </c>
      <c r="AE191">
        <v>3225</v>
      </c>
      <c r="AF191">
        <v>1591</v>
      </c>
      <c r="AG191">
        <v>1298</v>
      </c>
      <c r="AH191">
        <v>660</v>
      </c>
      <c r="AI191">
        <v>460</v>
      </c>
      <c r="AJ191">
        <v>512</v>
      </c>
      <c r="AK191">
        <v>325</v>
      </c>
      <c r="AL191">
        <v>283</v>
      </c>
    </row>
    <row r="192" spans="1:38">
      <c r="B192" t="s">
        <v>13</v>
      </c>
      <c r="C192">
        <v>1689</v>
      </c>
      <c r="D192">
        <v>2372</v>
      </c>
      <c r="E192">
        <v>2289</v>
      </c>
      <c r="F192">
        <v>1160</v>
      </c>
      <c r="G192">
        <v>226</v>
      </c>
      <c r="H192">
        <v>190</v>
      </c>
      <c r="I192">
        <v>206</v>
      </c>
      <c r="J192">
        <v>73</v>
      </c>
      <c r="K192">
        <v>57</v>
      </c>
      <c r="L192">
        <v>55</v>
      </c>
      <c r="M192">
        <v>38</v>
      </c>
      <c r="N192">
        <v>43</v>
      </c>
      <c r="O192">
        <v>3</v>
      </c>
      <c r="P192">
        <v>2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1692</v>
      </c>
      <c r="AB192">
        <v>2374</v>
      </c>
      <c r="AC192">
        <v>2289</v>
      </c>
      <c r="AD192">
        <v>1160</v>
      </c>
      <c r="AE192">
        <v>226</v>
      </c>
      <c r="AF192">
        <v>190</v>
      </c>
      <c r="AG192">
        <v>206</v>
      </c>
      <c r="AH192">
        <v>73</v>
      </c>
      <c r="AI192">
        <v>57</v>
      </c>
      <c r="AJ192">
        <v>55</v>
      </c>
      <c r="AK192">
        <v>38</v>
      </c>
      <c r="AL192">
        <v>43</v>
      </c>
    </row>
    <row r="193" spans="1:38">
      <c r="B193" t="s">
        <v>14</v>
      </c>
      <c r="C193">
        <v>174</v>
      </c>
      <c r="D193">
        <v>176</v>
      </c>
      <c r="E193">
        <v>277</v>
      </c>
      <c r="F193">
        <v>163</v>
      </c>
      <c r="G193">
        <v>124</v>
      </c>
      <c r="H193">
        <v>63</v>
      </c>
      <c r="I193">
        <v>51</v>
      </c>
      <c r="J193">
        <v>46</v>
      </c>
      <c r="K193">
        <v>43</v>
      </c>
      <c r="L193">
        <v>40</v>
      </c>
      <c r="M193">
        <v>37</v>
      </c>
      <c r="N193">
        <v>26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174</v>
      </c>
      <c r="AB193">
        <v>176</v>
      </c>
      <c r="AC193">
        <v>277</v>
      </c>
      <c r="AD193">
        <v>163</v>
      </c>
      <c r="AE193">
        <v>124</v>
      </c>
      <c r="AF193">
        <v>63</v>
      </c>
      <c r="AG193">
        <v>51</v>
      </c>
      <c r="AH193">
        <v>46</v>
      </c>
      <c r="AI193">
        <v>43</v>
      </c>
      <c r="AJ193">
        <v>40</v>
      </c>
      <c r="AK193">
        <v>37</v>
      </c>
      <c r="AL193">
        <v>26</v>
      </c>
    </row>
    <row r="194" spans="1:38">
      <c r="B194" t="s">
        <v>15</v>
      </c>
      <c r="C194">
        <v>123</v>
      </c>
      <c r="D194">
        <v>117</v>
      </c>
      <c r="E194">
        <v>137</v>
      </c>
      <c r="F194">
        <v>74</v>
      </c>
      <c r="G194">
        <v>43</v>
      </c>
      <c r="H194">
        <v>46</v>
      </c>
      <c r="I194">
        <v>33</v>
      </c>
      <c r="J194">
        <v>26</v>
      </c>
      <c r="K194">
        <v>22</v>
      </c>
      <c r="L194">
        <v>22</v>
      </c>
      <c r="M194">
        <v>5</v>
      </c>
      <c r="N194">
        <v>4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123</v>
      </c>
      <c r="AB194">
        <v>117</v>
      </c>
      <c r="AC194">
        <v>137</v>
      </c>
      <c r="AD194">
        <v>74</v>
      </c>
      <c r="AE194">
        <v>43</v>
      </c>
      <c r="AF194">
        <v>46</v>
      </c>
      <c r="AG194">
        <v>33</v>
      </c>
      <c r="AH194">
        <v>26</v>
      </c>
      <c r="AI194">
        <v>22</v>
      </c>
      <c r="AJ194">
        <v>22</v>
      </c>
      <c r="AK194">
        <v>5</v>
      </c>
      <c r="AL194">
        <v>4</v>
      </c>
    </row>
    <row r="195" spans="1:38">
      <c r="B195" t="s">
        <v>16</v>
      </c>
      <c r="C195">
        <v>195</v>
      </c>
      <c r="D195">
        <v>187</v>
      </c>
      <c r="E195">
        <v>154</v>
      </c>
      <c r="F195">
        <v>105</v>
      </c>
      <c r="G195">
        <v>68</v>
      </c>
      <c r="H195">
        <v>44</v>
      </c>
      <c r="I195">
        <v>39</v>
      </c>
      <c r="J195">
        <v>23</v>
      </c>
      <c r="K195">
        <v>20</v>
      </c>
      <c r="L195">
        <v>19</v>
      </c>
      <c r="M195">
        <v>14</v>
      </c>
      <c r="N195">
        <v>11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195</v>
      </c>
      <c r="AB195">
        <v>187</v>
      </c>
      <c r="AC195">
        <v>154</v>
      </c>
      <c r="AD195">
        <v>105</v>
      </c>
      <c r="AE195">
        <v>68</v>
      </c>
      <c r="AF195">
        <v>44</v>
      </c>
      <c r="AG195">
        <v>39</v>
      </c>
      <c r="AH195">
        <v>23</v>
      </c>
      <c r="AI195">
        <v>20</v>
      </c>
      <c r="AJ195">
        <v>19</v>
      </c>
      <c r="AK195">
        <v>14</v>
      </c>
      <c r="AL195">
        <v>11</v>
      </c>
    </row>
    <row r="196" spans="1:38">
      <c r="B196" t="s">
        <v>17</v>
      </c>
      <c r="C196">
        <v>4</v>
      </c>
      <c r="D196">
        <v>4</v>
      </c>
      <c r="E196">
        <v>4</v>
      </c>
      <c r="F196">
        <v>4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4</v>
      </c>
      <c r="AB196">
        <v>4</v>
      </c>
      <c r="AC196">
        <v>4</v>
      </c>
      <c r="AD196">
        <v>4</v>
      </c>
      <c r="AE196">
        <v>0</v>
      </c>
      <c r="AF196">
        <v>0</v>
      </c>
      <c r="AG196">
        <v>0</v>
      </c>
      <c r="AH196">
        <v>0</v>
      </c>
      <c r="AI196">
        <v>0</v>
      </c>
      <c r="AJ196">
        <v>0</v>
      </c>
      <c r="AK196">
        <v>0</v>
      </c>
      <c r="AL196">
        <v>0</v>
      </c>
    </row>
    <row r="197" spans="1:38">
      <c r="A197" t="s">
        <v>76</v>
      </c>
      <c r="B197" t="s">
        <v>3</v>
      </c>
      <c r="C197">
        <v>125665</v>
      </c>
      <c r="D197">
        <v>125674</v>
      </c>
      <c r="E197">
        <v>125907</v>
      </c>
      <c r="F197">
        <v>125639</v>
      </c>
      <c r="G197">
        <v>124905</v>
      </c>
      <c r="H197">
        <v>124374</v>
      </c>
      <c r="I197">
        <v>123530</v>
      </c>
      <c r="J197">
        <v>122332</v>
      </c>
      <c r="K197">
        <v>121036</v>
      </c>
      <c r="L197">
        <v>119644</v>
      </c>
      <c r="M197">
        <v>118111</v>
      </c>
      <c r="N197">
        <v>116460</v>
      </c>
      <c r="O197">
        <v>4541</v>
      </c>
      <c r="P197">
        <v>4542</v>
      </c>
      <c r="Q197">
        <v>4535</v>
      </c>
      <c r="R197">
        <v>4542</v>
      </c>
      <c r="S197">
        <v>4507</v>
      </c>
      <c r="T197">
        <v>4472</v>
      </c>
      <c r="U197">
        <v>4455</v>
      </c>
      <c r="V197">
        <v>4408</v>
      </c>
      <c r="W197">
        <v>4355</v>
      </c>
      <c r="X197">
        <v>4286</v>
      </c>
      <c r="Y197">
        <v>4220</v>
      </c>
      <c r="Z197">
        <v>4146</v>
      </c>
      <c r="AA197">
        <v>130206</v>
      </c>
      <c r="AB197">
        <v>130216</v>
      </c>
      <c r="AC197">
        <v>130442</v>
      </c>
      <c r="AD197">
        <v>130181</v>
      </c>
      <c r="AE197">
        <v>129412</v>
      </c>
      <c r="AF197">
        <v>128846</v>
      </c>
      <c r="AG197">
        <v>127985</v>
      </c>
      <c r="AH197">
        <v>126740</v>
      </c>
      <c r="AI197">
        <v>125391</v>
      </c>
      <c r="AJ197">
        <v>123930</v>
      </c>
      <c r="AK197">
        <v>122331</v>
      </c>
      <c r="AL197">
        <v>120606</v>
      </c>
    </row>
    <row r="198" spans="1:38">
      <c r="B198" t="s">
        <v>5</v>
      </c>
      <c r="C198">
        <v>3886</v>
      </c>
      <c r="D198">
        <v>3771</v>
      </c>
      <c r="E198">
        <v>3898</v>
      </c>
      <c r="F198">
        <v>4055</v>
      </c>
      <c r="G198">
        <v>4328</v>
      </c>
      <c r="H198">
        <v>4462</v>
      </c>
      <c r="I198">
        <v>4526</v>
      </c>
      <c r="J198">
        <v>4660</v>
      </c>
      <c r="K198">
        <v>4544</v>
      </c>
      <c r="L198">
        <v>4407</v>
      </c>
      <c r="M198">
        <v>4496</v>
      </c>
      <c r="N198">
        <v>4413</v>
      </c>
      <c r="O198">
        <v>143</v>
      </c>
      <c r="P198">
        <v>136</v>
      </c>
      <c r="Q198">
        <v>136</v>
      </c>
      <c r="R198">
        <v>143</v>
      </c>
      <c r="S198">
        <v>157</v>
      </c>
      <c r="T198">
        <v>159</v>
      </c>
      <c r="U198">
        <v>155</v>
      </c>
      <c r="V198">
        <v>146</v>
      </c>
      <c r="W198">
        <v>139</v>
      </c>
      <c r="X198">
        <v>126</v>
      </c>
      <c r="Y198">
        <v>118</v>
      </c>
      <c r="Z198">
        <v>108</v>
      </c>
      <c r="AA198">
        <v>4029</v>
      </c>
      <c r="AB198">
        <v>3907</v>
      </c>
      <c r="AC198">
        <v>4034</v>
      </c>
      <c r="AD198">
        <v>4198</v>
      </c>
      <c r="AE198">
        <v>4485</v>
      </c>
      <c r="AF198">
        <v>4621</v>
      </c>
      <c r="AG198">
        <v>4681</v>
      </c>
      <c r="AH198">
        <v>4806</v>
      </c>
      <c r="AI198">
        <v>4683</v>
      </c>
      <c r="AJ198">
        <v>4533</v>
      </c>
      <c r="AK198">
        <v>4614</v>
      </c>
      <c r="AL198">
        <v>4521</v>
      </c>
    </row>
    <row r="199" spans="1:38">
      <c r="B199" t="s">
        <v>6</v>
      </c>
      <c r="C199">
        <v>32335</v>
      </c>
      <c r="D199">
        <v>31820</v>
      </c>
      <c r="E199">
        <v>32907</v>
      </c>
      <c r="F199">
        <v>36791</v>
      </c>
      <c r="G199">
        <v>41787</v>
      </c>
      <c r="H199">
        <v>43849</v>
      </c>
      <c r="I199">
        <v>45250</v>
      </c>
      <c r="J199">
        <v>47834</v>
      </c>
      <c r="K199">
        <v>47961</v>
      </c>
      <c r="L199">
        <v>47145</v>
      </c>
      <c r="M199">
        <v>50376</v>
      </c>
      <c r="N199">
        <v>50189</v>
      </c>
      <c r="O199">
        <v>3599</v>
      </c>
      <c r="P199">
        <v>3549</v>
      </c>
      <c r="Q199">
        <v>3521</v>
      </c>
      <c r="R199">
        <v>3549</v>
      </c>
      <c r="S199">
        <v>3594</v>
      </c>
      <c r="T199">
        <v>3570</v>
      </c>
      <c r="U199">
        <v>3579</v>
      </c>
      <c r="V199">
        <v>3592</v>
      </c>
      <c r="W199">
        <v>3556</v>
      </c>
      <c r="X199">
        <v>3501</v>
      </c>
      <c r="Y199">
        <v>3517</v>
      </c>
      <c r="Z199">
        <v>3465</v>
      </c>
      <c r="AA199">
        <v>35934</v>
      </c>
      <c r="AB199">
        <v>35369</v>
      </c>
      <c r="AC199">
        <v>36428</v>
      </c>
      <c r="AD199">
        <v>40340</v>
      </c>
      <c r="AE199">
        <v>45381</v>
      </c>
      <c r="AF199">
        <v>47419</v>
      </c>
      <c r="AG199">
        <v>48829</v>
      </c>
      <c r="AH199">
        <v>51426</v>
      </c>
      <c r="AI199">
        <v>51517</v>
      </c>
      <c r="AJ199">
        <v>50646</v>
      </c>
      <c r="AK199">
        <v>53893</v>
      </c>
      <c r="AL199">
        <v>53654</v>
      </c>
    </row>
    <row r="200" spans="1:38">
      <c r="B200" t="s">
        <v>7</v>
      </c>
      <c r="C200">
        <v>44268</v>
      </c>
      <c r="D200">
        <v>44172</v>
      </c>
      <c r="E200">
        <v>44210</v>
      </c>
      <c r="F200">
        <v>44068</v>
      </c>
      <c r="G200">
        <v>43275</v>
      </c>
      <c r="H200">
        <v>42811</v>
      </c>
      <c r="I200">
        <v>42072</v>
      </c>
      <c r="J200">
        <v>40659</v>
      </c>
      <c r="K200">
        <v>40121</v>
      </c>
      <c r="L200">
        <v>39749</v>
      </c>
      <c r="M200">
        <v>38053</v>
      </c>
      <c r="N200">
        <v>37299</v>
      </c>
      <c r="O200">
        <v>552</v>
      </c>
      <c r="P200">
        <v>593</v>
      </c>
      <c r="Q200">
        <v>606</v>
      </c>
      <c r="R200">
        <v>610</v>
      </c>
      <c r="S200">
        <v>571</v>
      </c>
      <c r="T200">
        <v>571</v>
      </c>
      <c r="U200">
        <v>571</v>
      </c>
      <c r="V200">
        <v>540</v>
      </c>
      <c r="W200">
        <v>529</v>
      </c>
      <c r="X200">
        <v>528</v>
      </c>
      <c r="Y200">
        <v>480</v>
      </c>
      <c r="Z200">
        <v>481</v>
      </c>
      <c r="AA200">
        <v>44820</v>
      </c>
      <c r="AB200">
        <v>44765</v>
      </c>
      <c r="AC200">
        <v>44816</v>
      </c>
      <c r="AD200">
        <v>44678</v>
      </c>
      <c r="AE200">
        <v>43846</v>
      </c>
      <c r="AF200">
        <v>43382</v>
      </c>
      <c r="AG200">
        <v>42643</v>
      </c>
      <c r="AH200">
        <v>41199</v>
      </c>
      <c r="AI200">
        <v>40650</v>
      </c>
      <c r="AJ200">
        <v>40277</v>
      </c>
      <c r="AK200">
        <v>38533</v>
      </c>
      <c r="AL200">
        <v>37780</v>
      </c>
    </row>
    <row r="201" spans="1:38">
      <c r="B201" t="s">
        <v>8</v>
      </c>
      <c r="C201">
        <v>20637</v>
      </c>
      <c r="D201">
        <v>20909</v>
      </c>
      <c r="E201">
        <v>20375</v>
      </c>
      <c r="F201">
        <v>18953</v>
      </c>
      <c r="G201">
        <v>17136</v>
      </c>
      <c r="H201">
        <v>16151</v>
      </c>
      <c r="I201">
        <v>15553</v>
      </c>
      <c r="J201">
        <v>14497</v>
      </c>
      <c r="K201">
        <v>14145</v>
      </c>
      <c r="L201">
        <v>14138</v>
      </c>
      <c r="M201">
        <v>13202</v>
      </c>
      <c r="N201">
        <v>13009</v>
      </c>
      <c r="O201">
        <v>157</v>
      </c>
      <c r="P201">
        <v>166</v>
      </c>
      <c r="Q201">
        <v>182</v>
      </c>
      <c r="R201">
        <v>175</v>
      </c>
      <c r="S201">
        <v>136</v>
      </c>
      <c r="T201">
        <v>134</v>
      </c>
      <c r="U201">
        <v>120</v>
      </c>
      <c r="V201">
        <v>106</v>
      </c>
      <c r="W201">
        <v>110</v>
      </c>
      <c r="X201">
        <v>109</v>
      </c>
      <c r="Y201">
        <v>89</v>
      </c>
      <c r="Z201">
        <v>78</v>
      </c>
      <c r="AA201">
        <v>20794</v>
      </c>
      <c r="AB201">
        <v>21075</v>
      </c>
      <c r="AC201">
        <v>20557</v>
      </c>
      <c r="AD201">
        <v>19128</v>
      </c>
      <c r="AE201">
        <v>17272</v>
      </c>
      <c r="AF201">
        <v>16285</v>
      </c>
      <c r="AG201">
        <v>15673</v>
      </c>
      <c r="AH201">
        <v>14603</v>
      </c>
      <c r="AI201">
        <v>14255</v>
      </c>
      <c r="AJ201">
        <v>14247</v>
      </c>
      <c r="AK201">
        <v>13291</v>
      </c>
      <c r="AL201">
        <v>13087</v>
      </c>
    </row>
    <row r="202" spans="1:38">
      <c r="B202" t="s">
        <v>9</v>
      </c>
      <c r="C202">
        <v>9471</v>
      </c>
      <c r="D202">
        <v>9660</v>
      </c>
      <c r="E202">
        <v>9592</v>
      </c>
      <c r="F202">
        <v>8680</v>
      </c>
      <c r="G202">
        <v>7856</v>
      </c>
      <c r="H202">
        <v>7528</v>
      </c>
      <c r="I202">
        <v>7150</v>
      </c>
      <c r="J202">
        <v>6723</v>
      </c>
      <c r="K202">
        <v>6576</v>
      </c>
      <c r="L202">
        <v>6573</v>
      </c>
      <c r="M202">
        <v>5597</v>
      </c>
      <c r="N202">
        <v>5709</v>
      </c>
      <c r="O202">
        <v>64</v>
      </c>
      <c r="P202">
        <v>73</v>
      </c>
      <c r="Q202">
        <v>65</v>
      </c>
      <c r="R202">
        <v>45</v>
      </c>
      <c r="S202">
        <v>35</v>
      </c>
      <c r="T202">
        <v>24</v>
      </c>
      <c r="U202">
        <v>19</v>
      </c>
      <c r="V202">
        <v>14</v>
      </c>
      <c r="W202">
        <v>13</v>
      </c>
      <c r="X202">
        <v>14</v>
      </c>
      <c r="Y202">
        <v>9</v>
      </c>
      <c r="Z202">
        <v>8</v>
      </c>
      <c r="AA202">
        <v>9535</v>
      </c>
      <c r="AB202">
        <v>9733</v>
      </c>
      <c r="AC202">
        <v>9657</v>
      </c>
      <c r="AD202">
        <v>8725</v>
      </c>
      <c r="AE202">
        <v>7891</v>
      </c>
      <c r="AF202">
        <v>7552</v>
      </c>
      <c r="AG202">
        <v>7169</v>
      </c>
      <c r="AH202">
        <v>6737</v>
      </c>
      <c r="AI202">
        <v>6589</v>
      </c>
      <c r="AJ202">
        <v>6587</v>
      </c>
      <c r="AK202">
        <v>5606</v>
      </c>
      <c r="AL202">
        <v>5717</v>
      </c>
    </row>
    <row r="203" spans="1:38">
      <c r="B203" t="s">
        <v>10</v>
      </c>
      <c r="C203">
        <v>5430</v>
      </c>
      <c r="D203">
        <v>5557</v>
      </c>
      <c r="E203">
        <v>5449</v>
      </c>
      <c r="F203">
        <v>5078</v>
      </c>
      <c r="G203">
        <v>4106</v>
      </c>
      <c r="H203">
        <v>4137</v>
      </c>
      <c r="I203">
        <v>4205</v>
      </c>
      <c r="J203">
        <v>4682</v>
      </c>
      <c r="K203">
        <v>4584</v>
      </c>
      <c r="L203">
        <v>4431</v>
      </c>
      <c r="M203">
        <v>3958</v>
      </c>
      <c r="N203">
        <v>3645</v>
      </c>
      <c r="O203">
        <v>16</v>
      </c>
      <c r="P203">
        <v>15</v>
      </c>
      <c r="Q203">
        <v>13</v>
      </c>
      <c r="R203">
        <v>10</v>
      </c>
      <c r="S203">
        <v>7</v>
      </c>
      <c r="T203">
        <v>9</v>
      </c>
      <c r="U203">
        <v>7</v>
      </c>
      <c r="V203">
        <v>8</v>
      </c>
      <c r="W203">
        <v>6</v>
      </c>
      <c r="X203">
        <v>6</v>
      </c>
      <c r="Y203">
        <v>7</v>
      </c>
      <c r="Z203">
        <v>6</v>
      </c>
      <c r="AA203">
        <v>5446</v>
      </c>
      <c r="AB203">
        <v>5572</v>
      </c>
      <c r="AC203">
        <v>5462</v>
      </c>
      <c r="AD203">
        <v>5088</v>
      </c>
      <c r="AE203">
        <v>4113</v>
      </c>
      <c r="AF203">
        <v>4146</v>
      </c>
      <c r="AG203">
        <v>4212</v>
      </c>
      <c r="AH203">
        <v>4690</v>
      </c>
      <c r="AI203">
        <v>4590</v>
      </c>
      <c r="AJ203">
        <v>4437</v>
      </c>
      <c r="AK203">
        <v>3965</v>
      </c>
      <c r="AL203">
        <v>3651</v>
      </c>
    </row>
    <row r="204" spans="1:38">
      <c r="B204" t="s">
        <v>11</v>
      </c>
      <c r="C204">
        <v>3317</v>
      </c>
      <c r="D204">
        <v>3381</v>
      </c>
      <c r="E204">
        <v>3287</v>
      </c>
      <c r="F204">
        <v>3218</v>
      </c>
      <c r="G204">
        <v>3614</v>
      </c>
      <c r="H204">
        <v>3277</v>
      </c>
      <c r="I204">
        <v>2790</v>
      </c>
      <c r="J204">
        <v>1645</v>
      </c>
      <c r="K204">
        <v>1582</v>
      </c>
      <c r="L204">
        <v>1710</v>
      </c>
      <c r="M204">
        <v>1267</v>
      </c>
      <c r="N204">
        <v>1252</v>
      </c>
      <c r="O204">
        <v>6</v>
      </c>
      <c r="P204">
        <v>6</v>
      </c>
      <c r="Q204">
        <v>7</v>
      </c>
      <c r="R204">
        <v>7</v>
      </c>
      <c r="S204">
        <v>5</v>
      </c>
      <c r="T204">
        <v>5</v>
      </c>
      <c r="U204">
        <v>4</v>
      </c>
      <c r="V204">
        <v>2</v>
      </c>
      <c r="W204">
        <v>2</v>
      </c>
      <c r="X204">
        <v>2</v>
      </c>
      <c r="Y204">
        <v>0</v>
      </c>
      <c r="Z204">
        <v>0</v>
      </c>
      <c r="AA204">
        <v>3323</v>
      </c>
      <c r="AB204">
        <v>3387</v>
      </c>
      <c r="AC204">
        <v>3294</v>
      </c>
      <c r="AD204">
        <v>3225</v>
      </c>
      <c r="AE204">
        <v>3619</v>
      </c>
      <c r="AF204">
        <v>3282</v>
      </c>
      <c r="AG204">
        <v>2794</v>
      </c>
      <c r="AH204">
        <v>1647</v>
      </c>
      <c r="AI204">
        <v>1584</v>
      </c>
      <c r="AJ204">
        <v>1712</v>
      </c>
      <c r="AK204">
        <v>1267</v>
      </c>
      <c r="AL204">
        <v>1252</v>
      </c>
    </row>
    <row r="205" spans="1:38">
      <c r="B205" t="s">
        <v>12</v>
      </c>
      <c r="C205">
        <v>2542</v>
      </c>
      <c r="D205">
        <v>2560</v>
      </c>
      <c r="E205">
        <v>3224</v>
      </c>
      <c r="F205">
        <v>2720</v>
      </c>
      <c r="G205">
        <v>1266</v>
      </c>
      <c r="H205">
        <v>833</v>
      </c>
      <c r="I205">
        <v>790</v>
      </c>
      <c r="J205">
        <v>758</v>
      </c>
      <c r="K205">
        <v>726</v>
      </c>
      <c r="L205">
        <v>711</v>
      </c>
      <c r="M205">
        <v>632</v>
      </c>
      <c r="N205">
        <v>461</v>
      </c>
      <c r="O205">
        <v>4</v>
      </c>
      <c r="P205">
        <v>4</v>
      </c>
      <c r="Q205">
        <v>4</v>
      </c>
      <c r="R205">
        <v>3</v>
      </c>
      <c r="S205">
        <v>2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2546</v>
      </c>
      <c r="AB205">
        <v>2564</v>
      </c>
      <c r="AC205">
        <v>3228</v>
      </c>
      <c r="AD205">
        <v>2723</v>
      </c>
      <c r="AE205">
        <v>1268</v>
      </c>
      <c r="AF205">
        <v>833</v>
      </c>
      <c r="AG205">
        <v>790</v>
      </c>
      <c r="AH205">
        <v>758</v>
      </c>
      <c r="AI205">
        <v>726</v>
      </c>
      <c r="AJ205">
        <v>711</v>
      </c>
      <c r="AK205">
        <v>632</v>
      </c>
      <c r="AL205">
        <v>461</v>
      </c>
    </row>
    <row r="206" spans="1:38">
      <c r="B206" t="s">
        <v>13</v>
      </c>
      <c r="C206">
        <v>1875</v>
      </c>
      <c r="D206">
        <v>1966</v>
      </c>
      <c r="E206">
        <v>1180</v>
      </c>
      <c r="F206">
        <v>648</v>
      </c>
      <c r="G206">
        <v>601</v>
      </c>
      <c r="H206">
        <v>538</v>
      </c>
      <c r="I206">
        <v>612</v>
      </c>
      <c r="J206">
        <v>394</v>
      </c>
      <c r="K206">
        <v>371</v>
      </c>
      <c r="L206">
        <v>359</v>
      </c>
      <c r="M206">
        <v>326</v>
      </c>
      <c r="N206">
        <v>292</v>
      </c>
      <c r="O206">
        <v>0</v>
      </c>
      <c r="P206">
        <v>0</v>
      </c>
      <c r="Q206">
        <v>1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1875</v>
      </c>
      <c r="AB206">
        <v>1966</v>
      </c>
      <c r="AC206">
        <v>1181</v>
      </c>
      <c r="AD206">
        <v>648</v>
      </c>
      <c r="AE206">
        <v>601</v>
      </c>
      <c r="AF206">
        <v>538</v>
      </c>
      <c r="AG206">
        <v>612</v>
      </c>
      <c r="AH206">
        <v>394</v>
      </c>
      <c r="AI206">
        <v>371</v>
      </c>
      <c r="AJ206">
        <v>359</v>
      </c>
      <c r="AK206">
        <v>326</v>
      </c>
      <c r="AL206">
        <v>292</v>
      </c>
    </row>
    <row r="207" spans="1:38">
      <c r="B207" t="s">
        <v>14</v>
      </c>
      <c r="C207">
        <v>446</v>
      </c>
      <c r="D207">
        <v>437</v>
      </c>
      <c r="E207">
        <v>487</v>
      </c>
      <c r="F207">
        <v>520</v>
      </c>
      <c r="G207">
        <v>401</v>
      </c>
      <c r="H207">
        <v>351</v>
      </c>
      <c r="I207">
        <v>265</v>
      </c>
      <c r="J207">
        <v>287</v>
      </c>
      <c r="K207">
        <v>256</v>
      </c>
      <c r="L207">
        <v>251</v>
      </c>
      <c r="M207">
        <v>117</v>
      </c>
      <c r="N207">
        <v>117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446</v>
      </c>
      <c r="AB207">
        <v>437</v>
      </c>
      <c r="AC207">
        <v>487</v>
      </c>
      <c r="AD207">
        <v>520</v>
      </c>
      <c r="AE207">
        <v>401</v>
      </c>
      <c r="AF207">
        <v>351</v>
      </c>
      <c r="AG207">
        <v>265</v>
      </c>
      <c r="AH207">
        <v>287</v>
      </c>
      <c r="AI207">
        <v>256</v>
      </c>
      <c r="AJ207">
        <v>251</v>
      </c>
      <c r="AK207">
        <v>117</v>
      </c>
      <c r="AL207">
        <v>117</v>
      </c>
    </row>
    <row r="208" spans="1:38">
      <c r="B208" t="s">
        <v>15</v>
      </c>
      <c r="C208">
        <v>506</v>
      </c>
      <c r="D208">
        <v>494</v>
      </c>
      <c r="E208">
        <v>472</v>
      </c>
      <c r="F208">
        <v>376</v>
      </c>
      <c r="G208">
        <v>246</v>
      </c>
      <c r="H208">
        <v>247</v>
      </c>
      <c r="I208">
        <v>169</v>
      </c>
      <c r="J208">
        <v>114</v>
      </c>
      <c r="K208">
        <v>98</v>
      </c>
      <c r="L208">
        <v>97</v>
      </c>
      <c r="M208">
        <v>38</v>
      </c>
      <c r="N208">
        <v>30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506</v>
      </c>
      <c r="AB208">
        <v>494</v>
      </c>
      <c r="AC208">
        <v>472</v>
      </c>
      <c r="AD208">
        <v>376</v>
      </c>
      <c r="AE208">
        <v>246</v>
      </c>
      <c r="AF208">
        <v>247</v>
      </c>
      <c r="AG208">
        <v>169</v>
      </c>
      <c r="AH208">
        <v>114</v>
      </c>
      <c r="AI208">
        <v>98</v>
      </c>
      <c r="AJ208">
        <v>97</v>
      </c>
      <c r="AK208">
        <v>38</v>
      </c>
      <c r="AL208">
        <v>30</v>
      </c>
    </row>
    <row r="209" spans="1:38">
      <c r="B209" t="s">
        <v>16</v>
      </c>
      <c r="C209">
        <v>944</v>
      </c>
      <c r="D209">
        <v>941</v>
      </c>
      <c r="E209">
        <v>821</v>
      </c>
      <c r="F209">
        <v>527</v>
      </c>
      <c r="G209">
        <v>285</v>
      </c>
      <c r="H209">
        <v>186</v>
      </c>
      <c r="I209">
        <v>147</v>
      </c>
      <c r="J209">
        <v>78</v>
      </c>
      <c r="K209">
        <v>71</v>
      </c>
      <c r="L209">
        <v>72</v>
      </c>
      <c r="M209">
        <v>48</v>
      </c>
      <c r="N209">
        <v>43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944</v>
      </c>
      <c r="AB209">
        <v>941</v>
      </c>
      <c r="AC209">
        <v>821</v>
      </c>
      <c r="AD209">
        <v>527</v>
      </c>
      <c r="AE209">
        <v>285</v>
      </c>
      <c r="AF209">
        <v>186</v>
      </c>
      <c r="AG209">
        <v>147</v>
      </c>
      <c r="AH209">
        <v>78</v>
      </c>
      <c r="AI209">
        <v>71</v>
      </c>
      <c r="AJ209">
        <v>72</v>
      </c>
      <c r="AK209">
        <v>48</v>
      </c>
      <c r="AL209">
        <v>43</v>
      </c>
    </row>
    <row r="210" spans="1:38">
      <c r="B210" t="s">
        <v>17</v>
      </c>
      <c r="C210">
        <v>8</v>
      </c>
      <c r="D210">
        <v>6</v>
      </c>
      <c r="E210">
        <v>5</v>
      </c>
      <c r="F210">
        <v>5</v>
      </c>
      <c r="G210">
        <v>4</v>
      </c>
      <c r="H210">
        <v>4</v>
      </c>
      <c r="I210">
        <v>1</v>
      </c>
      <c r="J210">
        <v>1</v>
      </c>
      <c r="K210">
        <v>1</v>
      </c>
      <c r="L210">
        <v>1</v>
      </c>
      <c r="M210">
        <v>1</v>
      </c>
      <c r="N210">
        <v>1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8</v>
      </c>
      <c r="AB210">
        <v>6</v>
      </c>
      <c r="AC210">
        <v>5</v>
      </c>
      <c r="AD210">
        <v>5</v>
      </c>
      <c r="AE210">
        <v>4</v>
      </c>
      <c r="AF210">
        <v>4</v>
      </c>
      <c r="AG210">
        <v>1</v>
      </c>
      <c r="AH210">
        <v>1</v>
      </c>
      <c r="AI210">
        <v>1</v>
      </c>
      <c r="AJ210">
        <v>1</v>
      </c>
      <c r="AK210">
        <v>1</v>
      </c>
      <c r="AL210">
        <v>1</v>
      </c>
    </row>
    <row r="211" spans="1:38">
      <c r="A211" t="s">
        <v>71</v>
      </c>
      <c r="B211" t="s">
        <v>3</v>
      </c>
      <c r="C211">
        <v>455359</v>
      </c>
      <c r="D211">
        <v>465401</v>
      </c>
      <c r="E211">
        <v>479966</v>
      </c>
      <c r="F211">
        <v>473052</v>
      </c>
      <c r="G211">
        <v>448245</v>
      </c>
      <c r="H211">
        <v>479806</v>
      </c>
      <c r="I211">
        <v>508329</v>
      </c>
      <c r="J211">
        <v>495720</v>
      </c>
      <c r="K211">
        <v>519239</v>
      </c>
      <c r="L211">
        <v>519434</v>
      </c>
      <c r="M211">
        <v>518636</v>
      </c>
      <c r="N211">
        <v>530348</v>
      </c>
      <c r="O211">
        <v>10912</v>
      </c>
      <c r="P211">
        <v>10741</v>
      </c>
      <c r="Q211">
        <v>10083</v>
      </c>
      <c r="R211">
        <v>8911</v>
      </c>
      <c r="S211">
        <v>8033</v>
      </c>
      <c r="T211">
        <v>11300</v>
      </c>
      <c r="U211">
        <v>13967</v>
      </c>
      <c r="V211">
        <v>15862</v>
      </c>
      <c r="W211">
        <v>17159</v>
      </c>
      <c r="X211">
        <v>17417</v>
      </c>
      <c r="Y211">
        <v>17323</v>
      </c>
      <c r="Z211">
        <v>17937</v>
      </c>
      <c r="AA211">
        <v>466271</v>
      </c>
      <c r="AB211">
        <v>476142</v>
      </c>
      <c r="AC211">
        <v>490049</v>
      </c>
      <c r="AD211">
        <v>481963</v>
      </c>
      <c r="AE211">
        <v>456278</v>
      </c>
      <c r="AF211">
        <v>491106</v>
      </c>
      <c r="AG211">
        <v>522296</v>
      </c>
      <c r="AH211">
        <v>511582</v>
      </c>
      <c r="AI211">
        <v>536398</v>
      </c>
      <c r="AJ211">
        <v>536851</v>
      </c>
      <c r="AK211">
        <v>535959</v>
      </c>
      <c r="AL211">
        <v>548285</v>
      </c>
    </row>
    <row r="212" spans="1:38">
      <c r="B212" t="s">
        <v>5</v>
      </c>
      <c r="C212">
        <v>264276</v>
      </c>
      <c r="D212">
        <v>260163</v>
      </c>
      <c r="E212">
        <v>258894</v>
      </c>
      <c r="F212">
        <v>262331</v>
      </c>
      <c r="G212">
        <v>267848</v>
      </c>
      <c r="H212">
        <v>266648</v>
      </c>
      <c r="I212">
        <v>265231</v>
      </c>
      <c r="J212">
        <v>264551</v>
      </c>
      <c r="K212">
        <v>265082</v>
      </c>
      <c r="L212">
        <v>265014</v>
      </c>
      <c r="M212">
        <v>271155</v>
      </c>
      <c r="N212">
        <v>272575</v>
      </c>
      <c r="O212">
        <v>4776</v>
      </c>
      <c r="P212">
        <v>4943</v>
      </c>
      <c r="Q212">
        <v>5118</v>
      </c>
      <c r="R212">
        <v>5288</v>
      </c>
      <c r="S212">
        <v>5527</v>
      </c>
      <c r="T212">
        <v>5613</v>
      </c>
      <c r="U212">
        <v>5722</v>
      </c>
      <c r="V212">
        <v>6034</v>
      </c>
      <c r="W212">
        <v>6378</v>
      </c>
      <c r="X212">
        <v>6755</v>
      </c>
      <c r="Y212">
        <v>7040</v>
      </c>
      <c r="Z212">
        <v>7357</v>
      </c>
      <c r="AA212">
        <v>269052</v>
      </c>
      <c r="AB212">
        <v>265106</v>
      </c>
      <c r="AC212">
        <v>264012</v>
      </c>
      <c r="AD212">
        <v>267619</v>
      </c>
      <c r="AE212">
        <v>273375</v>
      </c>
      <c r="AF212">
        <v>272261</v>
      </c>
      <c r="AG212">
        <v>270953</v>
      </c>
      <c r="AH212">
        <v>270585</v>
      </c>
      <c r="AI212">
        <v>271460</v>
      </c>
      <c r="AJ212">
        <v>271769</v>
      </c>
      <c r="AK212">
        <v>278195</v>
      </c>
      <c r="AL212">
        <v>279932</v>
      </c>
    </row>
    <row r="213" spans="1:38">
      <c r="B213" t="s">
        <v>6</v>
      </c>
      <c r="C213">
        <v>7568</v>
      </c>
      <c r="D213">
        <v>8059</v>
      </c>
      <c r="E213">
        <v>10623</v>
      </c>
      <c r="F213">
        <v>13129</v>
      </c>
      <c r="G213">
        <v>15829</v>
      </c>
      <c r="H213">
        <v>22020</v>
      </c>
      <c r="I213">
        <v>28920</v>
      </c>
      <c r="J213">
        <v>30268</v>
      </c>
      <c r="K213">
        <v>33301</v>
      </c>
      <c r="L213">
        <v>30506</v>
      </c>
      <c r="M213">
        <v>37170</v>
      </c>
      <c r="N213">
        <v>38148</v>
      </c>
      <c r="O213">
        <v>3346</v>
      </c>
      <c r="P213">
        <v>3317</v>
      </c>
      <c r="Q213">
        <v>2834</v>
      </c>
      <c r="R213">
        <v>2231</v>
      </c>
      <c r="S213">
        <v>1795</v>
      </c>
      <c r="T213">
        <v>5263</v>
      </c>
      <c r="U213">
        <v>7959</v>
      </c>
      <c r="V213">
        <v>9613</v>
      </c>
      <c r="W213">
        <v>10590</v>
      </c>
      <c r="X213">
        <v>10487</v>
      </c>
      <c r="Y213">
        <v>10135</v>
      </c>
      <c r="Z213">
        <v>10442</v>
      </c>
      <c r="AA213">
        <v>10914</v>
      </c>
      <c r="AB213">
        <v>11376</v>
      </c>
      <c r="AC213">
        <v>13457</v>
      </c>
      <c r="AD213">
        <v>15360</v>
      </c>
      <c r="AE213">
        <v>17624</v>
      </c>
      <c r="AF213">
        <v>27283</v>
      </c>
      <c r="AG213">
        <v>36879</v>
      </c>
      <c r="AH213">
        <v>39881</v>
      </c>
      <c r="AI213">
        <v>43891</v>
      </c>
      <c r="AJ213">
        <v>40993</v>
      </c>
      <c r="AK213">
        <v>47305</v>
      </c>
      <c r="AL213">
        <v>48590</v>
      </c>
    </row>
    <row r="214" spans="1:38">
      <c r="B214" t="s">
        <v>7</v>
      </c>
      <c r="C214">
        <v>85367</v>
      </c>
      <c r="D214">
        <v>90668</v>
      </c>
      <c r="E214">
        <v>97565</v>
      </c>
      <c r="F214">
        <v>98500</v>
      </c>
      <c r="G214">
        <v>89358</v>
      </c>
      <c r="H214">
        <v>109199</v>
      </c>
      <c r="I214">
        <v>127419</v>
      </c>
      <c r="J214">
        <v>126153</v>
      </c>
      <c r="K214">
        <v>142710</v>
      </c>
      <c r="L214">
        <v>146288</v>
      </c>
      <c r="M214">
        <v>145483</v>
      </c>
      <c r="N214">
        <v>156443</v>
      </c>
      <c r="O214">
        <v>2052</v>
      </c>
      <c r="P214">
        <v>1826</v>
      </c>
      <c r="Q214">
        <v>1567</v>
      </c>
      <c r="R214">
        <v>1104</v>
      </c>
      <c r="S214">
        <v>594</v>
      </c>
      <c r="T214">
        <v>360</v>
      </c>
      <c r="U214">
        <v>243</v>
      </c>
      <c r="V214">
        <v>181</v>
      </c>
      <c r="W214">
        <v>165</v>
      </c>
      <c r="X214">
        <v>154</v>
      </c>
      <c r="Y214">
        <v>133</v>
      </c>
      <c r="Z214">
        <v>125</v>
      </c>
      <c r="AA214">
        <v>87419</v>
      </c>
      <c r="AB214">
        <v>92494</v>
      </c>
      <c r="AC214">
        <v>99132</v>
      </c>
      <c r="AD214">
        <v>99604</v>
      </c>
      <c r="AE214">
        <v>89952</v>
      </c>
      <c r="AF214">
        <v>109559</v>
      </c>
      <c r="AG214">
        <v>127662</v>
      </c>
      <c r="AH214">
        <v>126334</v>
      </c>
      <c r="AI214">
        <v>142875</v>
      </c>
      <c r="AJ214">
        <v>146442</v>
      </c>
      <c r="AK214">
        <v>145616</v>
      </c>
      <c r="AL214">
        <v>156568</v>
      </c>
    </row>
    <row r="215" spans="1:38">
      <c r="B215" t="s">
        <v>8</v>
      </c>
      <c r="C215">
        <v>47646</v>
      </c>
      <c r="D215">
        <v>51239</v>
      </c>
      <c r="E215">
        <v>55338</v>
      </c>
      <c r="F215">
        <v>54780</v>
      </c>
      <c r="G215">
        <v>46704</v>
      </c>
      <c r="H215">
        <v>51869</v>
      </c>
      <c r="I215">
        <v>55385</v>
      </c>
      <c r="J215">
        <v>50040</v>
      </c>
      <c r="K215">
        <v>53719</v>
      </c>
      <c r="L215">
        <v>54595</v>
      </c>
      <c r="M215">
        <v>46758</v>
      </c>
      <c r="N215">
        <v>45588</v>
      </c>
      <c r="O215">
        <v>529</v>
      </c>
      <c r="P215">
        <v>473</v>
      </c>
      <c r="Q215">
        <v>410</v>
      </c>
      <c r="R215">
        <v>215</v>
      </c>
      <c r="S215">
        <v>98</v>
      </c>
      <c r="T215">
        <v>53</v>
      </c>
      <c r="U215">
        <v>34</v>
      </c>
      <c r="V215">
        <v>29</v>
      </c>
      <c r="W215">
        <v>23</v>
      </c>
      <c r="X215">
        <v>19</v>
      </c>
      <c r="Y215">
        <v>13</v>
      </c>
      <c r="Z215">
        <v>12</v>
      </c>
      <c r="AA215">
        <v>48175</v>
      </c>
      <c r="AB215">
        <v>51712</v>
      </c>
      <c r="AC215">
        <v>55748</v>
      </c>
      <c r="AD215">
        <v>54995</v>
      </c>
      <c r="AE215">
        <v>46802</v>
      </c>
      <c r="AF215">
        <v>51922</v>
      </c>
      <c r="AG215">
        <v>55419</v>
      </c>
      <c r="AH215">
        <v>50069</v>
      </c>
      <c r="AI215">
        <v>53742</v>
      </c>
      <c r="AJ215">
        <v>54614</v>
      </c>
      <c r="AK215">
        <v>46771</v>
      </c>
      <c r="AL215">
        <v>45600</v>
      </c>
    </row>
    <row r="216" spans="1:38">
      <c r="B216" t="s">
        <v>9</v>
      </c>
      <c r="C216">
        <v>25218</v>
      </c>
      <c r="D216">
        <v>27735</v>
      </c>
      <c r="E216">
        <v>28469</v>
      </c>
      <c r="F216">
        <v>21087</v>
      </c>
      <c r="G216">
        <v>13446</v>
      </c>
      <c r="H216">
        <v>14069</v>
      </c>
      <c r="I216">
        <v>15061</v>
      </c>
      <c r="J216">
        <v>12388</v>
      </c>
      <c r="K216">
        <v>12684</v>
      </c>
      <c r="L216">
        <v>12116</v>
      </c>
      <c r="M216">
        <v>9892</v>
      </c>
      <c r="N216">
        <v>9695</v>
      </c>
      <c r="O216">
        <v>141</v>
      </c>
      <c r="P216">
        <v>122</v>
      </c>
      <c r="Q216">
        <v>92</v>
      </c>
      <c r="R216">
        <v>49</v>
      </c>
      <c r="S216">
        <v>11</v>
      </c>
      <c r="T216">
        <v>8</v>
      </c>
      <c r="U216">
        <v>7</v>
      </c>
      <c r="V216">
        <v>5</v>
      </c>
      <c r="W216">
        <v>3</v>
      </c>
      <c r="X216">
        <v>2</v>
      </c>
      <c r="Y216">
        <v>2</v>
      </c>
      <c r="Z216">
        <v>1</v>
      </c>
      <c r="AA216">
        <v>25359</v>
      </c>
      <c r="AB216">
        <v>27857</v>
      </c>
      <c r="AC216">
        <v>28561</v>
      </c>
      <c r="AD216">
        <v>21136</v>
      </c>
      <c r="AE216">
        <v>13457</v>
      </c>
      <c r="AF216">
        <v>14077</v>
      </c>
      <c r="AG216">
        <v>15068</v>
      </c>
      <c r="AH216">
        <v>12393</v>
      </c>
      <c r="AI216">
        <v>12687</v>
      </c>
      <c r="AJ216">
        <v>12118</v>
      </c>
      <c r="AK216">
        <v>9894</v>
      </c>
      <c r="AL216">
        <v>9696</v>
      </c>
    </row>
    <row r="217" spans="1:38">
      <c r="B217" t="s">
        <v>10</v>
      </c>
      <c r="C217">
        <v>9335</v>
      </c>
      <c r="D217">
        <v>10172</v>
      </c>
      <c r="E217">
        <v>10672</v>
      </c>
      <c r="F217">
        <v>8861</v>
      </c>
      <c r="G217">
        <v>6298</v>
      </c>
      <c r="H217">
        <v>7028</v>
      </c>
      <c r="I217">
        <v>7668</v>
      </c>
      <c r="J217">
        <v>6397</v>
      </c>
      <c r="K217">
        <v>6744</v>
      </c>
      <c r="L217">
        <v>6373</v>
      </c>
      <c r="M217">
        <v>6156</v>
      </c>
      <c r="N217">
        <v>6450</v>
      </c>
      <c r="O217">
        <v>44</v>
      </c>
      <c r="P217">
        <v>39</v>
      </c>
      <c r="Q217">
        <v>45</v>
      </c>
      <c r="R217">
        <v>13</v>
      </c>
      <c r="S217">
        <v>7</v>
      </c>
      <c r="T217">
        <v>2</v>
      </c>
      <c r="U217">
        <v>2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9379</v>
      </c>
      <c r="AB217">
        <v>10211</v>
      </c>
      <c r="AC217">
        <v>10717</v>
      </c>
      <c r="AD217">
        <v>8874</v>
      </c>
      <c r="AE217">
        <v>6305</v>
      </c>
      <c r="AF217">
        <v>7030</v>
      </c>
      <c r="AG217">
        <v>7670</v>
      </c>
      <c r="AH217">
        <v>6397</v>
      </c>
      <c r="AI217">
        <v>6744</v>
      </c>
      <c r="AJ217">
        <v>6373</v>
      </c>
      <c r="AK217">
        <v>6156</v>
      </c>
      <c r="AL217">
        <v>6450</v>
      </c>
    </row>
    <row r="218" spans="1:38">
      <c r="B218" t="s">
        <v>11</v>
      </c>
      <c r="C218">
        <v>6497</v>
      </c>
      <c r="D218">
        <v>6741</v>
      </c>
      <c r="E218">
        <v>7137</v>
      </c>
      <c r="F218">
        <v>6070</v>
      </c>
      <c r="G218">
        <v>5233</v>
      </c>
      <c r="H218">
        <v>7106</v>
      </c>
      <c r="I218">
        <v>7406</v>
      </c>
      <c r="J218">
        <v>5770</v>
      </c>
      <c r="K218">
        <v>4873</v>
      </c>
      <c r="L218">
        <v>4437</v>
      </c>
      <c r="M218">
        <v>2004</v>
      </c>
      <c r="N218">
        <v>1433</v>
      </c>
      <c r="O218">
        <v>16</v>
      </c>
      <c r="P218">
        <v>14</v>
      </c>
      <c r="Q218">
        <v>12</v>
      </c>
      <c r="R218">
        <v>7</v>
      </c>
      <c r="S218">
        <v>1</v>
      </c>
      <c r="T218">
        <v>1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6513</v>
      </c>
      <c r="AB218">
        <v>6755</v>
      </c>
      <c r="AC218">
        <v>7149</v>
      </c>
      <c r="AD218">
        <v>6077</v>
      </c>
      <c r="AE218">
        <v>5234</v>
      </c>
      <c r="AF218">
        <v>7107</v>
      </c>
      <c r="AG218">
        <v>7406</v>
      </c>
      <c r="AH218">
        <v>5770</v>
      </c>
      <c r="AI218">
        <v>4873</v>
      </c>
      <c r="AJ218">
        <v>4437</v>
      </c>
      <c r="AK218">
        <v>2004</v>
      </c>
      <c r="AL218">
        <v>1433</v>
      </c>
    </row>
    <row r="219" spans="1:38">
      <c r="B219" t="s">
        <v>12</v>
      </c>
      <c r="C219">
        <v>4960</v>
      </c>
      <c r="D219">
        <v>5116</v>
      </c>
      <c r="E219">
        <v>5926</v>
      </c>
      <c r="F219">
        <v>7437</v>
      </c>
      <c r="G219">
        <v>3472</v>
      </c>
      <c r="H219">
        <v>1847</v>
      </c>
      <c r="I219">
        <v>1218</v>
      </c>
      <c r="J219">
        <v>140</v>
      </c>
      <c r="K219">
        <v>114</v>
      </c>
      <c r="L219">
        <v>94</v>
      </c>
      <c r="M219">
        <v>8</v>
      </c>
      <c r="N219">
        <v>7</v>
      </c>
      <c r="O219">
        <v>5</v>
      </c>
      <c r="P219">
        <v>5</v>
      </c>
      <c r="Q219">
        <v>4</v>
      </c>
      <c r="R219">
        <v>4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4965</v>
      </c>
      <c r="AB219">
        <v>5121</v>
      </c>
      <c r="AC219">
        <v>5930</v>
      </c>
      <c r="AD219">
        <v>7441</v>
      </c>
      <c r="AE219">
        <v>3472</v>
      </c>
      <c r="AF219">
        <v>1847</v>
      </c>
      <c r="AG219">
        <v>1218</v>
      </c>
      <c r="AH219">
        <v>140</v>
      </c>
      <c r="AI219">
        <v>114</v>
      </c>
      <c r="AJ219">
        <v>94</v>
      </c>
      <c r="AK219">
        <v>8</v>
      </c>
      <c r="AL219">
        <v>7</v>
      </c>
    </row>
    <row r="220" spans="1:38">
      <c r="B220" t="s">
        <v>13</v>
      </c>
      <c r="C220">
        <v>4461</v>
      </c>
      <c r="D220">
        <v>5473</v>
      </c>
      <c r="E220">
        <v>5226</v>
      </c>
      <c r="F220">
        <v>831</v>
      </c>
      <c r="G220">
        <v>45</v>
      </c>
      <c r="H220">
        <v>10</v>
      </c>
      <c r="I220">
        <v>9</v>
      </c>
      <c r="J220">
        <v>5</v>
      </c>
      <c r="K220">
        <v>3</v>
      </c>
      <c r="L220">
        <v>3</v>
      </c>
      <c r="M220">
        <v>2</v>
      </c>
      <c r="N220">
        <v>1</v>
      </c>
      <c r="O220">
        <v>3</v>
      </c>
      <c r="P220">
        <v>2</v>
      </c>
      <c r="Q220">
        <v>1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4464</v>
      </c>
      <c r="AB220">
        <v>5475</v>
      </c>
      <c r="AC220">
        <v>5227</v>
      </c>
      <c r="AD220">
        <v>831</v>
      </c>
      <c r="AE220">
        <v>45</v>
      </c>
      <c r="AF220">
        <v>10</v>
      </c>
      <c r="AG220">
        <v>9</v>
      </c>
      <c r="AH220">
        <v>5</v>
      </c>
      <c r="AI220">
        <v>3</v>
      </c>
      <c r="AJ220">
        <v>3</v>
      </c>
      <c r="AK220">
        <v>2</v>
      </c>
      <c r="AL220">
        <v>1</v>
      </c>
    </row>
    <row r="221" spans="1:38">
      <c r="B221" t="s">
        <v>14</v>
      </c>
      <c r="C221">
        <v>13</v>
      </c>
      <c r="D221">
        <v>16</v>
      </c>
      <c r="E221">
        <v>99</v>
      </c>
      <c r="F221">
        <v>14</v>
      </c>
      <c r="G221">
        <v>4</v>
      </c>
      <c r="H221">
        <v>2</v>
      </c>
      <c r="I221">
        <v>1</v>
      </c>
      <c r="J221">
        <v>0</v>
      </c>
      <c r="K221">
        <v>0</v>
      </c>
      <c r="L221">
        <v>0</v>
      </c>
      <c r="M221">
        <v>5</v>
      </c>
      <c r="N221">
        <v>5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13</v>
      </c>
      <c r="AB221">
        <v>16</v>
      </c>
      <c r="AC221">
        <v>99</v>
      </c>
      <c r="AD221">
        <v>14</v>
      </c>
      <c r="AE221">
        <v>4</v>
      </c>
      <c r="AF221">
        <v>2</v>
      </c>
      <c r="AG221">
        <v>1</v>
      </c>
      <c r="AH221">
        <v>0</v>
      </c>
      <c r="AI221">
        <v>0</v>
      </c>
      <c r="AJ221">
        <v>0</v>
      </c>
      <c r="AK221">
        <v>5</v>
      </c>
      <c r="AL221">
        <v>5</v>
      </c>
    </row>
    <row r="222" spans="1:38">
      <c r="B222" t="s">
        <v>15</v>
      </c>
      <c r="C222">
        <v>5</v>
      </c>
      <c r="D222">
        <v>5</v>
      </c>
      <c r="E222">
        <v>6</v>
      </c>
      <c r="F222">
        <v>4</v>
      </c>
      <c r="G222">
        <v>1</v>
      </c>
      <c r="H222">
        <v>0</v>
      </c>
      <c r="I222">
        <v>1</v>
      </c>
      <c r="J222">
        <v>4</v>
      </c>
      <c r="K222">
        <v>5</v>
      </c>
      <c r="L222">
        <v>5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5</v>
      </c>
      <c r="AB222">
        <v>5</v>
      </c>
      <c r="AC222">
        <v>6</v>
      </c>
      <c r="AD222">
        <v>4</v>
      </c>
      <c r="AE222">
        <v>1</v>
      </c>
      <c r="AF222">
        <v>0</v>
      </c>
      <c r="AG222">
        <v>1</v>
      </c>
      <c r="AH222">
        <v>4</v>
      </c>
      <c r="AI222">
        <v>5</v>
      </c>
      <c r="AJ222">
        <v>5</v>
      </c>
      <c r="AK222">
        <v>0</v>
      </c>
      <c r="AL222">
        <v>0</v>
      </c>
    </row>
    <row r="223" spans="1:38">
      <c r="B223" t="s">
        <v>16</v>
      </c>
      <c r="C223">
        <v>11</v>
      </c>
      <c r="D223">
        <v>11</v>
      </c>
      <c r="E223">
        <v>8</v>
      </c>
      <c r="F223">
        <v>6</v>
      </c>
      <c r="G223">
        <v>6</v>
      </c>
      <c r="H223">
        <v>7</v>
      </c>
      <c r="I223">
        <v>10</v>
      </c>
      <c r="J223">
        <v>4</v>
      </c>
      <c r="K223">
        <v>4</v>
      </c>
      <c r="L223">
        <v>3</v>
      </c>
      <c r="M223">
        <v>3</v>
      </c>
      <c r="N223">
        <v>3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11</v>
      </c>
      <c r="AB223">
        <v>11</v>
      </c>
      <c r="AC223">
        <v>8</v>
      </c>
      <c r="AD223">
        <v>6</v>
      </c>
      <c r="AE223">
        <v>6</v>
      </c>
      <c r="AF223">
        <v>7</v>
      </c>
      <c r="AG223">
        <v>10</v>
      </c>
      <c r="AH223">
        <v>4</v>
      </c>
      <c r="AI223">
        <v>4</v>
      </c>
      <c r="AJ223">
        <v>3</v>
      </c>
      <c r="AK223">
        <v>3</v>
      </c>
      <c r="AL223">
        <v>3</v>
      </c>
    </row>
    <row r="224" spans="1:38">
      <c r="B224" t="s">
        <v>17</v>
      </c>
      <c r="C224">
        <v>2</v>
      </c>
      <c r="D224">
        <v>3</v>
      </c>
      <c r="E224">
        <v>3</v>
      </c>
      <c r="F224">
        <v>2</v>
      </c>
      <c r="G224">
        <v>1</v>
      </c>
      <c r="H224">
        <v>1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2</v>
      </c>
      <c r="AB224">
        <v>3</v>
      </c>
      <c r="AC224">
        <v>3</v>
      </c>
      <c r="AD224">
        <v>2</v>
      </c>
      <c r="AE224">
        <v>1</v>
      </c>
      <c r="AF224">
        <v>1</v>
      </c>
      <c r="AG224">
        <v>0</v>
      </c>
      <c r="AH224">
        <v>0</v>
      </c>
      <c r="AI224">
        <v>0</v>
      </c>
      <c r="AJ224">
        <v>0</v>
      </c>
      <c r="AK224">
        <v>0</v>
      </c>
      <c r="AL224">
        <v>0</v>
      </c>
    </row>
    <row r="225" spans="1:38">
      <c r="A225" t="s">
        <v>72</v>
      </c>
      <c r="B225" t="s">
        <v>3</v>
      </c>
      <c r="C225">
        <v>100821</v>
      </c>
      <c r="D225">
        <v>111580</v>
      </c>
      <c r="E225">
        <v>127563</v>
      </c>
      <c r="F225">
        <v>122000</v>
      </c>
      <c r="G225">
        <v>98281</v>
      </c>
      <c r="H225">
        <v>132218</v>
      </c>
      <c r="I225">
        <v>162563</v>
      </c>
      <c r="J225">
        <v>151847</v>
      </c>
      <c r="K225">
        <v>172673</v>
      </c>
      <c r="L225">
        <v>168562</v>
      </c>
      <c r="M225">
        <v>164969</v>
      </c>
      <c r="N225">
        <v>171553</v>
      </c>
      <c r="O225">
        <v>5818</v>
      </c>
      <c r="P225">
        <v>5467</v>
      </c>
      <c r="Q225">
        <v>4632</v>
      </c>
      <c r="R225">
        <v>3335</v>
      </c>
      <c r="S225">
        <v>2289</v>
      </c>
      <c r="T225">
        <v>5505</v>
      </c>
      <c r="U225">
        <v>8091</v>
      </c>
      <c r="V225">
        <v>9694</v>
      </c>
      <c r="W225">
        <v>10657</v>
      </c>
      <c r="X225">
        <v>10536</v>
      </c>
      <c r="Y225">
        <v>10176</v>
      </c>
      <c r="Z225">
        <v>10477</v>
      </c>
      <c r="AA225">
        <v>106639</v>
      </c>
      <c r="AB225">
        <v>117047</v>
      </c>
      <c r="AC225">
        <v>132195</v>
      </c>
      <c r="AD225">
        <v>125335</v>
      </c>
      <c r="AE225">
        <v>100570</v>
      </c>
      <c r="AF225">
        <v>137723</v>
      </c>
      <c r="AG225">
        <v>170654</v>
      </c>
      <c r="AH225">
        <v>161541</v>
      </c>
      <c r="AI225">
        <v>183330</v>
      </c>
      <c r="AJ225">
        <v>179098</v>
      </c>
      <c r="AK225">
        <v>175145</v>
      </c>
      <c r="AL225">
        <v>182030</v>
      </c>
    </row>
    <row r="226" spans="1:38">
      <c r="B226" t="s">
        <v>5</v>
      </c>
      <c r="C226">
        <v>407</v>
      </c>
      <c r="D226">
        <v>490</v>
      </c>
      <c r="E226">
        <v>600</v>
      </c>
      <c r="F226">
        <v>715</v>
      </c>
      <c r="G226">
        <v>711</v>
      </c>
      <c r="H226">
        <v>811</v>
      </c>
      <c r="I226">
        <v>835</v>
      </c>
      <c r="J226">
        <v>989</v>
      </c>
      <c r="K226">
        <v>1113</v>
      </c>
      <c r="L226">
        <v>1209</v>
      </c>
      <c r="M226">
        <v>1240</v>
      </c>
      <c r="N226">
        <v>1224</v>
      </c>
      <c r="O226">
        <v>8</v>
      </c>
      <c r="P226">
        <v>11</v>
      </c>
      <c r="Q226">
        <v>11</v>
      </c>
      <c r="R226">
        <v>10</v>
      </c>
      <c r="S226">
        <v>6</v>
      </c>
      <c r="T226">
        <v>3</v>
      </c>
      <c r="U226">
        <v>5</v>
      </c>
      <c r="V226">
        <v>2</v>
      </c>
      <c r="W226">
        <v>5</v>
      </c>
      <c r="X226">
        <v>2</v>
      </c>
      <c r="Y226">
        <v>4</v>
      </c>
      <c r="Z226">
        <v>4</v>
      </c>
      <c r="AA226">
        <v>415</v>
      </c>
      <c r="AB226">
        <v>501</v>
      </c>
      <c r="AC226">
        <v>611</v>
      </c>
      <c r="AD226">
        <v>725</v>
      </c>
      <c r="AE226">
        <v>717</v>
      </c>
      <c r="AF226">
        <v>814</v>
      </c>
      <c r="AG226">
        <v>840</v>
      </c>
      <c r="AH226">
        <v>991</v>
      </c>
      <c r="AI226">
        <v>1118</v>
      </c>
      <c r="AJ226">
        <v>1211</v>
      </c>
      <c r="AK226">
        <v>1244</v>
      </c>
      <c r="AL226">
        <v>1228</v>
      </c>
    </row>
    <row r="227" spans="1:38">
      <c r="B227" t="s">
        <v>6</v>
      </c>
      <c r="C227">
        <v>7538</v>
      </c>
      <c r="D227">
        <v>8023</v>
      </c>
      <c r="E227">
        <v>10592</v>
      </c>
      <c r="F227">
        <v>13095</v>
      </c>
      <c r="G227">
        <v>15788</v>
      </c>
      <c r="H227">
        <v>21983</v>
      </c>
      <c r="I227">
        <v>28834</v>
      </c>
      <c r="J227">
        <v>30178</v>
      </c>
      <c r="K227">
        <v>33205</v>
      </c>
      <c r="L227">
        <v>30417</v>
      </c>
      <c r="M227">
        <v>37086</v>
      </c>
      <c r="N227">
        <v>38062</v>
      </c>
      <c r="O227">
        <v>3341</v>
      </c>
      <c r="P227">
        <v>3312</v>
      </c>
      <c r="Q227">
        <v>2828</v>
      </c>
      <c r="R227">
        <v>2223</v>
      </c>
      <c r="S227">
        <v>1784</v>
      </c>
      <c r="T227">
        <v>5252</v>
      </c>
      <c r="U227">
        <v>7954</v>
      </c>
      <c r="V227">
        <v>9608</v>
      </c>
      <c r="W227">
        <v>10585</v>
      </c>
      <c r="X227">
        <v>10482</v>
      </c>
      <c r="Y227">
        <v>10130</v>
      </c>
      <c r="Z227">
        <v>10436</v>
      </c>
      <c r="AA227">
        <v>10879</v>
      </c>
      <c r="AB227">
        <v>11335</v>
      </c>
      <c r="AC227">
        <v>13420</v>
      </c>
      <c r="AD227">
        <v>15318</v>
      </c>
      <c r="AE227">
        <v>17572</v>
      </c>
      <c r="AF227">
        <v>27235</v>
      </c>
      <c r="AG227">
        <v>36788</v>
      </c>
      <c r="AH227">
        <v>39786</v>
      </c>
      <c r="AI227">
        <v>43790</v>
      </c>
      <c r="AJ227">
        <v>40899</v>
      </c>
      <c r="AK227">
        <v>47216</v>
      </c>
      <c r="AL227">
        <v>48498</v>
      </c>
    </row>
    <row r="228" spans="1:38">
      <c r="B228" t="s">
        <v>7</v>
      </c>
      <c r="C228">
        <v>31924</v>
      </c>
      <c r="D228">
        <v>35681</v>
      </c>
      <c r="E228">
        <v>42582</v>
      </c>
      <c r="F228">
        <v>45104</v>
      </c>
      <c r="G228">
        <v>38359</v>
      </c>
      <c r="H228">
        <v>57999</v>
      </c>
      <c r="I228">
        <v>75813</v>
      </c>
      <c r="J228">
        <v>72334</v>
      </c>
      <c r="K228">
        <v>86975</v>
      </c>
      <c r="L228">
        <v>87746</v>
      </c>
      <c r="M228">
        <v>85261</v>
      </c>
      <c r="N228">
        <v>90854</v>
      </c>
      <c r="O228">
        <v>1764</v>
      </c>
      <c r="P228">
        <v>1525</v>
      </c>
      <c r="Q228">
        <v>1260</v>
      </c>
      <c r="R228">
        <v>840</v>
      </c>
      <c r="S228">
        <v>398</v>
      </c>
      <c r="T228">
        <v>198</v>
      </c>
      <c r="U228">
        <v>100</v>
      </c>
      <c r="V228">
        <v>60</v>
      </c>
      <c r="W228">
        <v>54</v>
      </c>
      <c r="X228">
        <v>44</v>
      </c>
      <c r="Y228">
        <v>39</v>
      </c>
      <c r="Z228">
        <v>34</v>
      </c>
      <c r="AA228">
        <v>33688</v>
      </c>
      <c r="AB228">
        <v>37206</v>
      </c>
      <c r="AC228">
        <v>43842</v>
      </c>
      <c r="AD228">
        <v>45944</v>
      </c>
      <c r="AE228">
        <v>38757</v>
      </c>
      <c r="AF228">
        <v>58197</v>
      </c>
      <c r="AG228">
        <v>75913</v>
      </c>
      <c r="AH228">
        <v>72394</v>
      </c>
      <c r="AI228">
        <v>87029</v>
      </c>
      <c r="AJ228">
        <v>87790</v>
      </c>
      <c r="AK228">
        <v>85300</v>
      </c>
      <c r="AL228">
        <v>90888</v>
      </c>
    </row>
    <row r="229" spans="1:38">
      <c r="B229" t="s">
        <v>8</v>
      </c>
      <c r="C229">
        <v>24490</v>
      </c>
      <c r="D229">
        <v>27149</v>
      </c>
      <c r="E229">
        <v>30398</v>
      </c>
      <c r="F229">
        <v>26978</v>
      </c>
      <c r="G229">
        <v>19262</v>
      </c>
      <c r="H229">
        <v>24336</v>
      </c>
      <c r="I229">
        <v>28219</v>
      </c>
      <c r="J229">
        <v>25188</v>
      </c>
      <c r="K229">
        <v>28238</v>
      </c>
      <c r="L229">
        <v>27511</v>
      </c>
      <c r="M229">
        <v>24143</v>
      </c>
      <c r="N229">
        <v>24545</v>
      </c>
      <c r="O229">
        <v>503</v>
      </c>
      <c r="P229">
        <v>444</v>
      </c>
      <c r="Q229">
        <v>383</v>
      </c>
      <c r="R229">
        <v>191</v>
      </c>
      <c r="S229">
        <v>82</v>
      </c>
      <c r="T229">
        <v>41</v>
      </c>
      <c r="U229">
        <v>23</v>
      </c>
      <c r="V229">
        <v>19</v>
      </c>
      <c r="W229">
        <v>10</v>
      </c>
      <c r="X229">
        <v>6</v>
      </c>
      <c r="Y229">
        <v>1</v>
      </c>
      <c r="Z229">
        <v>2</v>
      </c>
      <c r="AA229">
        <v>24993</v>
      </c>
      <c r="AB229">
        <v>27593</v>
      </c>
      <c r="AC229">
        <v>30781</v>
      </c>
      <c r="AD229">
        <v>27169</v>
      </c>
      <c r="AE229">
        <v>19344</v>
      </c>
      <c r="AF229">
        <v>24377</v>
      </c>
      <c r="AG229">
        <v>28242</v>
      </c>
      <c r="AH229">
        <v>25207</v>
      </c>
      <c r="AI229">
        <v>28248</v>
      </c>
      <c r="AJ229">
        <v>27517</v>
      </c>
      <c r="AK229">
        <v>24144</v>
      </c>
      <c r="AL229">
        <v>24547</v>
      </c>
    </row>
    <row r="230" spans="1:38">
      <c r="B230" t="s">
        <v>9</v>
      </c>
      <c r="C230">
        <v>13048</v>
      </c>
      <c r="D230">
        <v>14613</v>
      </c>
      <c r="E230">
        <v>15992</v>
      </c>
      <c r="F230">
        <v>13890</v>
      </c>
      <c r="G230">
        <v>9774</v>
      </c>
      <c r="H230">
        <v>11631</v>
      </c>
      <c r="I230">
        <v>13016</v>
      </c>
      <c r="J230">
        <v>11112</v>
      </c>
      <c r="K230">
        <v>11655</v>
      </c>
      <c r="L230">
        <v>11013</v>
      </c>
      <c r="M230">
        <v>9236</v>
      </c>
      <c r="N230">
        <v>9124</v>
      </c>
      <c r="O230">
        <v>134</v>
      </c>
      <c r="P230">
        <v>115</v>
      </c>
      <c r="Q230">
        <v>88</v>
      </c>
      <c r="R230">
        <v>47</v>
      </c>
      <c r="S230">
        <v>11</v>
      </c>
      <c r="T230">
        <v>8</v>
      </c>
      <c r="U230">
        <v>7</v>
      </c>
      <c r="V230">
        <v>5</v>
      </c>
      <c r="W230">
        <v>3</v>
      </c>
      <c r="X230">
        <v>2</v>
      </c>
      <c r="Y230">
        <v>2</v>
      </c>
      <c r="Z230">
        <v>1</v>
      </c>
      <c r="AA230">
        <v>13182</v>
      </c>
      <c r="AB230">
        <v>14728</v>
      </c>
      <c r="AC230">
        <v>16080</v>
      </c>
      <c r="AD230">
        <v>13937</v>
      </c>
      <c r="AE230">
        <v>9785</v>
      </c>
      <c r="AF230">
        <v>11639</v>
      </c>
      <c r="AG230">
        <v>13023</v>
      </c>
      <c r="AH230">
        <v>11117</v>
      </c>
      <c r="AI230">
        <v>11658</v>
      </c>
      <c r="AJ230">
        <v>11015</v>
      </c>
      <c r="AK230">
        <v>9238</v>
      </c>
      <c r="AL230">
        <v>9125</v>
      </c>
    </row>
    <row r="231" spans="1:38">
      <c r="B231" t="s">
        <v>10</v>
      </c>
      <c r="C231">
        <v>8113</v>
      </c>
      <c r="D231">
        <v>8914</v>
      </c>
      <c r="E231">
        <v>9545</v>
      </c>
      <c r="F231">
        <v>8156</v>
      </c>
      <c r="G231">
        <v>5824</v>
      </c>
      <c r="H231">
        <v>6648</v>
      </c>
      <c r="I231">
        <v>7336</v>
      </c>
      <c r="J231">
        <v>6196</v>
      </c>
      <c r="K231">
        <v>6558</v>
      </c>
      <c r="L231">
        <v>6192</v>
      </c>
      <c r="M231">
        <v>6019</v>
      </c>
      <c r="N231">
        <v>6332</v>
      </c>
      <c r="O231">
        <v>44</v>
      </c>
      <c r="P231">
        <v>39</v>
      </c>
      <c r="Q231">
        <v>45</v>
      </c>
      <c r="R231">
        <v>13</v>
      </c>
      <c r="S231">
        <v>7</v>
      </c>
      <c r="T231">
        <v>2</v>
      </c>
      <c r="U231">
        <v>2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8157</v>
      </c>
      <c r="AB231">
        <v>8953</v>
      </c>
      <c r="AC231">
        <v>9590</v>
      </c>
      <c r="AD231">
        <v>8169</v>
      </c>
      <c r="AE231">
        <v>5831</v>
      </c>
      <c r="AF231">
        <v>6650</v>
      </c>
      <c r="AG231">
        <v>7338</v>
      </c>
      <c r="AH231">
        <v>6196</v>
      </c>
      <c r="AI231">
        <v>6558</v>
      </c>
      <c r="AJ231">
        <v>6192</v>
      </c>
      <c r="AK231">
        <v>6019</v>
      </c>
      <c r="AL231">
        <v>6332</v>
      </c>
    </row>
    <row r="232" spans="1:38">
      <c r="B232" t="s">
        <v>11</v>
      </c>
      <c r="C232">
        <v>6060</v>
      </c>
      <c r="D232">
        <v>6298</v>
      </c>
      <c r="E232">
        <v>6777</v>
      </c>
      <c r="F232">
        <v>5901</v>
      </c>
      <c r="G232">
        <v>5089</v>
      </c>
      <c r="H232">
        <v>6986</v>
      </c>
      <c r="I232">
        <v>7310</v>
      </c>
      <c r="J232">
        <v>5729</v>
      </c>
      <c r="K232">
        <v>4829</v>
      </c>
      <c r="L232">
        <v>4392</v>
      </c>
      <c r="M232">
        <v>1984</v>
      </c>
      <c r="N232">
        <v>1412</v>
      </c>
      <c r="O232">
        <v>16</v>
      </c>
      <c r="P232">
        <v>14</v>
      </c>
      <c r="Q232">
        <v>12</v>
      </c>
      <c r="R232">
        <v>7</v>
      </c>
      <c r="S232">
        <v>1</v>
      </c>
      <c r="T232">
        <v>1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6076</v>
      </c>
      <c r="AB232">
        <v>6312</v>
      </c>
      <c r="AC232">
        <v>6789</v>
      </c>
      <c r="AD232">
        <v>5908</v>
      </c>
      <c r="AE232">
        <v>5090</v>
      </c>
      <c r="AF232">
        <v>6987</v>
      </c>
      <c r="AG232">
        <v>7310</v>
      </c>
      <c r="AH232">
        <v>5729</v>
      </c>
      <c r="AI232">
        <v>4829</v>
      </c>
      <c r="AJ232">
        <v>4392</v>
      </c>
      <c r="AK232">
        <v>1984</v>
      </c>
      <c r="AL232">
        <v>1412</v>
      </c>
    </row>
    <row r="233" spans="1:38">
      <c r="B233" t="s">
        <v>12</v>
      </c>
      <c r="C233">
        <v>4860</v>
      </c>
      <c r="D233">
        <v>5018</v>
      </c>
      <c r="E233">
        <v>5794</v>
      </c>
      <c r="F233">
        <v>7344</v>
      </c>
      <c r="G233">
        <v>3445</v>
      </c>
      <c r="H233">
        <v>1824</v>
      </c>
      <c r="I233">
        <v>1200</v>
      </c>
      <c r="J233">
        <v>121</v>
      </c>
      <c r="K233">
        <v>100</v>
      </c>
      <c r="L233">
        <v>82</v>
      </c>
      <c r="M233">
        <v>0</v>
      </c>
      <c r="N233">
        <v>0</v>
      </c>
      <c r="O233">
        <v>5</v>
      </c>
      <c r="P233">
        <v>5</v>
      </c>
      <c r="Q233">
        <v>4</v>
      </c>
      <c r="R233">
        <v>4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4865</v>
      </c>
      <c r="AB233">
        <v>5023</v>
      </c>
      <c r="AC233">
        <v>5798</v>
      </c>
      <c r="AD233">
        <v>7348</v>
      </c>
      <c r="AE233">
        <v>3445</v>
      </c>
      <c r="AF233">
        <v>1824</v>
      </c>
      <c r="AG233">
        <v>1200</v>
      </c>
      <c r="AH233">
        <v>121</v>
      </c>
      <c r="AI233">
        <v>100</v>
      </c>
      <c r="AJ233">
        <v>82</v>
      </c>
      <c r="AK233">
        <v>0</v>
      </c>
      <c r="AL233">
        <v>0</v>
      </c>
    </row>
    <row r="234" spans="1:38">
      <c r="B234" t="s">
        <v>13</v>
      </c>
      <c r="C234">
        <v>4381</v>
      </c>
      <c r="D234">
        <v>5394</v>
      </c>
      <c r="E234">
        <v>5198</v>
      </c>
      <c r="F234">
        <v>809</v>
      </c>
      <c r="G234">
        <v>29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3</v>
      </c>
      <c r="P234">
        <v>2</v>
      </c>
      <c r="Q234">
        <v>1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4384</v>
      </c>
      <c r="AB234">
        <v>5396</v>
      </c>
      <c r="AC234">
        <v>5199</v>
      </c>
      <c r="AD234">
        <v>809</v>
      </c>
      <c r="AE234">
        <v>29</v>
      </c>
      <c r="AF234">
        <v>0</v>
      </c>
      <c r="AG234">
        <v>0</v>
      </c>
      <c r="AH234">
        <v>0</v>
      </c>
      <c r="AI234">
        <v>0</v>
      </c>
      <c r="AJ234">
        <v>0</v>
      </c>
      <c r="AK234">
        <v>0</v>
      </c>
      <c r="AL234">
        <v>0</v>
      </c>
    </row>
    <row r="235" spans="1:38">
      <c r="B235" t="s">
        <v>14</v>
      </c>
      <c r="C235">
        <v>0</v>
      </c>
      <c r="D235">
        <v>0</v>
      </c>
      <c r="E235">
        <v>85</v>
      </c>
      <c r="F235">
        <v>8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85</v>
      </c>
      <c r="AD235">
        <v>8</v>
      </c>
      <c r="AE235">
        <v>0</v>
      </c>
      <c r="AF235">
        <v>0</v>
      </c>
      <c r="AG235">
        <v>0</v>
      </c>
      <c r="AH235">
        <v>0</v>
      </c>
      <c r="AI235">
        <v>0</v>
      </c>
      <c r="AJ235">
        <v>0</v>
      </c>
      <c r="AK235">
        <v>0</v>
      </c>
      <c r="AL235">
        <v>0</v>
      </c>
    </row>
    <row r="236" spans="1:38">
      <c r="A236" t="s">
        <v>73</v>
      </c>
      <c r="B236" t="s">
        <v>3</v>
      </c>
      <c r="C236">
        <v>258348</v>
      </c>
      <c r="D236">
        <v>260048</v>
      </c>
      <c r="E236">
        <v>260787</v>
      </c>
      <c r="F236">
        <v>262032</v>
      </c>
      <c r="G236">
        <v>263744</v>
      </c>
      <c r="H236">
        <v>264981</v>
      </c>
      <c r="I236">
        <v>266635</v>
      </c>
      <c r="J236">
        <v>269280</v>
      </c>
      <c r="K236">
        <v>274556</v>
      </c>
      <c r="L236">
        <v>281792</v>
      </c>
      <c r="M236">
        <v>288171</v>
      </c>
      <c r="N236">
        <v>296913</v>
      </c>
      <c r="O236">
        <v>5094</v>
      </c>
      <c r="P236">
        <v>5274</v>
      </c>
      <c r="Q236">
        <v>5451</v>
      </c>
      <c r="R236">
        <v>5576</v>
      </c>
      <c r="S236">
        <v>5744</v>
      </c>
      <c r="T236">
        <v>5795</v>
      </c>
      <c r="U236">
        <v>5876</v>
      </c>
      <c r="V236">
        <v>6168</v>
      </c>
      <c r="W236">
        <v>6502</v>
      </c>
      <c r="X236">
        <v>6881</v>
      </c>
      <c r="Y236">
        <v>7147</v>
      </c>
      <c r="Z236">
        <v>7460</v>
      </c>
      <c r="AA236">
        <v>263442</v>
      </c>
      <c r="AB236">
        <v>265322</v>
      </c>
      <c r="AC236">
        <v>266238</v>
      </c>
      <c r="AD236">
        <v>267608</v>
      </c>
      <c r="AE236">
        <v>269488</v>
      </c>
      <c r="AF236">
        <v>270776</v>
      </c>
      <c r="AG236">
        <v>272511</v>
      </c>
      <c r="AH236">
        <v>275448</v>
      </c>
      <c r="AI236">
        <v>281058</v>
      </c>
      <c r="AJ236">
        <v>288673</v>
      </c>
      <c r="AK236">
        <v>295318</v>
      </c>
      <c r="AL236">
        <v>304373</v>
      </c>
    </row>
    <row r="237" spans="1:38">
      <c r="B237" t="s">
        <v>5</v>
      </c>
      <c r="C237">
        <v>170797</v>
      </c>
      <c r="D237">
        <v>168950</v>
      </c>
      <c r="E237">
        <v>169414</v>
      </c>
      <c r="F237">
        <v>174710</v>
      </c>
      <c r="G237">
        <v>182518</v>
      </c>
      <c r="H237">
        <v>184575</v>
      </c>
      <c r="I237">
        <v>186457</v>
      </c>
      <c r="J237">
        <v>189906</v>
      </c>
      <c r="K237">
        <v>192834</v>
      </c>
      <c r="L237">
        <v>195572</v>
      </c>
      <c r="M237">
        <v>205106</v>
      </c>
      <c r="N237">
        <v>210086</v>
      </c>
      <c r="O237">
        <v>4768</v>
      </c>
      <c r="P237">
        <v>4932</v>
      </c>
      <c r="Q237">
        <v>5107</v>
      </c>
      <c r="R237">
        <v>5278</v>
      </c>
      <c r="S237">
        <v>5521</v>
      </c>
      <c r="T237">
        <v>5610</v>
      </c>
      <c r="U237">
        <v>5717</v>
      </c>
      <c r="V237">
        <v>6032</v>
      </c>
      <c r="W237">
        <v>6373</v>
      </c>
      <c r="X237">
        <v>6753</v>
      </c>
      <c r="Y237">
        <v>7036</v>
      </c>
      <c r="Z237">
        <v>7353</v>
      </c>
      <c r="AA237">
        <v>175565</v>
      </c>
      <c r="AB237">
        <v>173882</v>
      </c>
      <c r="AC237">
        <v>174521</v>
      </c>
      <c r="AD237">
        <v>179988</v>
      </c>
      <c r="AE237">
        <v>188039</v>
      </c>
      <c r="AF237">
        <v>190185</v>
      </c>
      <c r="AG237">
        <v>192174</v>
      </c>
      <c r="AH237">
        <v>195938</v>
      </c>
      <c r="AI237">
        <v>199207</v>
      </c>
      <c r="AJ237">
        <v>202325</v>
      </c>
      <c r="AK237">
        <v>212142</v>
      </c>
      <c r="AL237">
        <v>217439</v>
      </c>
    </row>
    <row r="238" spans="1:38">
      <c r="B238" t="s">
        <v>6</v>
      </c>
      <c r="C238">
        <v>25</v>
      </c>
      <c r="D238">
        <v>28</v>
      </c>
      <c r="E238">
        <v>24</v>
      </c>
      <c r="F238">
        <v>24</v>
      </c>
      <c r="G238">
        <v>31</v>
      </c>
      <c r="H238">
        <v>28</v>
      </c>
      <c r="I238">
        <v>74</v>
      </c>
      <c r="J238">
        <v>78</v>
      </c>
      <c r="K238">
        <v>84</v>
      </c>
      <c r="L238">
        <v>75</v>
      </c>
      <c r="M238">
        <v>69</v>
      </c>
      <c r="N238">
        <v>72</v>
      </c>
      <c r="O238">
        <v>5</v>
      </c>
      <c r="P238">
        <v>5</v>
      </c>
      <c r="Q238">
        <v>6</v>
      </c>
      <c r="R238">
        <v>8</v>
      </c>
      <c r="S238">
        <v>11</v>
      </c>
      <c r="T238">
        <v>11</v>
      </c>
      <c r="U238">
        <v>5</v>
      </c>
      <c r="V238">
        <v>5</v>
      </c>
      <c r="W238">
        <v>5</v>
      </c>
      <c r="X238">
        <v>5</v>
      </c>
      <c r="Y238">
        <v>5</v>
      </c>
      <c r="Z238">
        <v>6</v>
      </c>
      <c r="AA238">
        <v>30</v>
      </c>
      <c r="AB238">
        <v>33</v>
      </c>
      <c r="AC238">
        <v>30</v>
      </c>
      <c r="AD238">
        <v>32</v>
      </c>
      <c r="AE238">
        <v>42</v>
      </c>
      <c r="AF238">
        <v>39</v>
      </c>
      <c r="AG238">
        <v>79</v>
      </c>
      <c r="AH238">
        <v>83</v>
      </c>
      <c r="AI238">
        <v>89</v>
      </c>
      <c r="AJ238">
        <v>80</v>
      </c>
      <c r="AK238">
        <v>74</v>
      </c>
      <c r="AL238">
        <v>78</v>
      </c>
    </row>
    <row r="239" spans="1:38">
      <c r="B239" t="s">
        <v>7</v>
      </c>
      <c r="C239">
        <v>50737</v>
      </c>
      <c r="D239">
        <v>52343</v>
      </c>
      <c r="E239">
        <v>52613</v>
      </c>
      <c r="F239">
        <v>51566</v>
      </c>
      <c r="G239">
        <v>49601</v>
      </c>
      <c r="H239">
        <v>50033</v>
      </c>
      <c r="I239">
        <v>50573</v>
      </c>
      <c r="J239">
        <v>53012</v>
      </c>
      <c r="K239">
        <v>54986</v>
      </c>
      <c r="L239">
        <v>57820</v>
      </c>
      <c r="M239">
        <v>59643</v>
      </c>
      <c r="N239">
        <v>65068</v>
      </c>
      <c r="O239">
        <v>288</v>
      </c>
      <c r="P239">
        <v>301</v>
      </c>
      <c r="Q239">
        <v>307</v>
      </c>
      <c r="R239">
        <v>264</v>
      </c>
      <c r="S239">
        <v>196</v>
      </c>
      <c r="T239">
        <v>162</v>
      </c>
      <c r="U239">
        <v>143</v>
      </c>
      <c r="V239">
        <v>121</v>
      </c>
      <c r="W239">
        <v>111</v>
      </c>
      <c r="X239">
        <v>110</v>
      </c>
      <c r="Y239">
        <v>94</v>
      </c>
      <c r="Z239">
        <v>91</v>
      </c>
      <c r="AA239">
        <v>51025</v>
      </c>
      <c r="AB239">
        <v>52644</v>
      </c>
      <c r="AC239">
        <v>52920</v>
      </c>
      <c r="AD239">
        <v>51830</v>
      </c>
      <c r="AE239">
        <v>49797</v>
      </c>
      <c r="AF239">
        <v>50195</v>
      </c>
      <c r="AG239">
        <v>50716</v>
      </c>
      <c r="AH239">
        <v>53133</v>
      </c>
      <c r="AI239">
        <v>55097</v>
      </c>
      <c r="AJ239">
        <v>57930</v>
      </c>
      <c r="AK239">
        <v>59737</v>
      </c>
      <c r="AL239">
        <v>65159</v>
      </c>
    </row>
    <row r="240" spans="1:38">
      <c r="B240" t="s">
        <v>8</v>
      </c>
      <c r="C240">
        <v>22880</v>
      </c>
      <c r="D240">
        <v>23819</v>
      </c>
      <c r="E240">
        <v>24694</v>
      </c>
      <c r="F240">
        <v>27620</v>
      </c>
      <c r="G240">
        <v>27319</v>
      </c>
      <c r="H240">
        <v>27426</v>
      </c>
      <c r="I240">
        <v>27074</v>
      </c>
      <c r="J240">
        <v>24786</v>
      </c>
      <c r="K240">
        <v>25419</v>
      </c>
      <c r="L240">
        <v>27025</v>
      </c>
      <c r="M240">
        <v>22567</v>
      </c>
      <c r="N240">
        <v>20998</v>
      </c>
      <c r="O240">
        <v>26</v>
      </c>
      <c r="P240">
        <v>29</v>
      </c>
      <c r="Q240">
        <v>27</v>
      </c>
      <c r="R240">
        <v>24</v>
      </c>
      <c r="S240">
        <v>16</v>
      </c>
      <c r="T240">
        <v>12</v>
      </c>
      <c r="U240">
        <v>11</v>
      </c>
      <c r="V240">
        <v>10</v>
      </c>
      <c r="W240">
        <v>13</v>
      </c>
      <c r="X240">
        <v>13</v>
      </c>
      <c r="Y240">
        <v>12</v>
      </c>
      <c r="Z240">
        <v>10</v>
      </c>
      <c r="AA240">
        <v>22906</v>
      </c>
      <c r="AB240">
        <v>23848</v>
      </c>
      <c r="AC240">
        <v>24721</v>
      </c>
      <c r="AD240">
        <v>27644</v>
      </c>
      <c r="AE240">
        <v>27335</v>
      </c>
      <c r="AF240">
        <v>27438</v>
      </c>
      <c r="AG240">
        <v>27085</v>
      </c>
      <c r="AH240">
        <v>24796</v>
      </c>
      <c r="AI240">
        <v>25432</v>
      </c>
      <c r="AJ240">
        <v>27038</v>
      </c>
      <c r="AK240">
        <v>22579</v>
      </c>
      <c r="AL240">
        <v>21008</v>
      </c>
    </row>
    <row r="241" spans="1:38">
      <c r="B241" t="s">
        <v>9</v>
      </c>
      <c r="C241">
        <v>12105</v>
      </c>
      <c r="D241">
        <v>13060</v>
      </c>
      <c r="E241">
        <v>12420</v>
      </c>
      <c r="F241">
        <v>7159</v>
      </c>
      <c r="G241">
        <v>3646</v>
      </c>
      <c r="H241">
        <v>2411</v>
      </c>
      <c r="I241">
        <v>2021</v>
      </c>
      <c r="J241">
        <v>1251</v>
      </c>
      <c r="K241">
        <v>1003</v>
      </c>
      <c r="L241">
        <v>1076</v>
      </c>
      <c r="M241">
        <v>636</v>
      </c>
      <c r="N241">
        <v>558</v>
      </c>
      <c r="O241">
        <v>7</v>
      </c>
      <c r="P241">
        <v>7</v>
      </c>
      <c r="Q241">
        <v>4</v>
      </c>
      <c r="R241">
        <v>2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12112</v>
      </c>
      <c r="AB241">
        <v>13067</v>
      </c>
      <c r="AC241">
        <v>12424</v>
      </c>
      <c r="AD241">
        <v>7161</v>
      </c>
      <c r="AE241">
        <v>3646</v>
      </c>
      <c r="AF241">
        <v>2411</v>
      </c>
      <c r="AG241">
        <v>2021</v>
      </c>
      <c r="AH241">
        <v>1251</v>
      </c>
      <c r="AI241">
        <v>1003</v>
      </c>
      <c r="AJ241">
        <v>1076</v>
      </c>
      <c r="AK241">
        <v>636</v>
      </c>
      <c r="AL241">
        <v>558</v>
      </c>
    </row>
    <row r="242" spans="1:38">
      <c r="B242" t="s">
        <v>10</v>
      </c>
      <c r="C242">
        <v>1202</v>
      </c>
      <c r="D242">
        <v>1239</v>
      </c>
      <c r="E242">
        <v>1109</v>
      </c>
      <c r="F242">
        <v>684</v>
      </c>
      <c r="G242">
        <v>460</v>
      </c>
      <c r="H242">
        <v>372</v>
      </c>
      <c r="I242">
        <v>324</v>
      </c>
      <c r="J242">
        <v>180</v>
      </c>
      <c r="K242">
        <v>166</v>
      </c>
      <c r="L242">
        <v>162</v>
      </c>
      <c r="M242">
        <v>116</v>
      </c>
      <c r="N242">
        <v>98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1202</v>
      </c>
      <c r="AB242">
        <v>1239</v>
      </c>
      <c r="AC242">
        <v>1109</v>
      </c>
      <c r="AD242">
        <v>684</v>
      </c>
      <c r="AE242">
        <v>460</v>
      </c>
      <c r="AF242">
        <v>372</v>
      </c>
      <c r="AG242">
        <v>324</v>
      </c>
      <c r="AH242">
        <v>180</v>
      </c>
      <c r="AI242">
        <v>166</v>
      </c>
      <c r="AJ242">
        <v>162</v>
      </c>
      <c r="AK242">
        <v>116</v>
      </c>
      <c r="AL242">
        <v>98</v>
      </c>
    </row>
    <row r="243" spans="1:38">
      <c r="B243" t="s">
        <v>11</v>
      </c>
      <c r="C243">
        <v>423</v>
      </c>
      <c r="D243">
        <v>429</v>
      </c>
      <c r="E243">
        <v>352</v>
      </c>
      <c r="F243">
        <v>163</v>
      </c>
      <c r="G243">
        <v>122</v>
      </c>
      <c r="H243">
        <v>98</v>
      </c>
      <c r="I243">
        <v>77</v>
      </c>
      <c r="J243">
        <v>39</v>
      </c>
      <c r="K243">
        <v>41</v>
      </c>
      <c r="L243">
        <v>42</v>
      </c>
      <c r="M243">
        <v>19</v>
      </c>
      <c r="N243">
        <v>20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423</v>
      </c>
      <c r="AB243">
        <v>429</v>
      </c>
      <c r="AC243">
        <v>352</v>
      </c>
      <c r="AD243">
        <v>163</v>
      </c>
      <c r="AE243">
        <v>122</v>
      </c>
      <c r="AF243">
        <v>98</v>
      </c>
      <c r="AG243">
        <v>77</v>
      </c>
      <c r="AH243">
        <v>39</v>
      </c>
      <c r="AI243">
        <v>41</v>
      </c>
      <c r="AJ243">
        <v>42</v>
      </c>
      <c r="AK243">
        <v>19</v>
      </c>
      <c r="AL243">
        <v>20</v>
      </c>
    </row>
    <row r="244" spans="1:38">
      <c r="B244" t="s">
        <v>12</v>
      </c>
      <c r="C244">
        <v>96</v>
      </c>
      <c r="D244">
        <v>94</v>
      </c>
      <c r="E244">
        <v>109</v>
      </c>
      <c r="F244">
        <v>72</v>
      </c>
      <c r="G244">
        <v>23</v>
      </c>
      <c r="H244">
        <v>21</v>
      </c>
      <c r="I244">
        <v>17</v>
      </c>
      <c r="J244">
        <v>17</v>
      </c>
      <c r="K244">
        <v>13</v>
      </c>
      <c r="L244">
        <v>11</v>
      </c>
      <c r="M244">
        <v>6</v>
      </c>
      <c r="N244">
        <v>5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96</v>
      </c>
      <c r="AB244">
        <v>94</v>
      </c>
      <c r="AC244">
        <v>109</v>
      </c>
      <c r="AD244">
        <v>72</v>
      </c>
      <c r="AE244">
        <v>23</v>
      </c>
      <c r="AF244">
        <v>21</v>
      </c>
      <c r="AG244">
        <v>17</v>
      </c>
      <c r="AH244">
        <v>17</v>
      </c>
      <c r="AI244">
        <v>13</v>
      </c>
      <c r="AJ244">
        <v>11</v>
      </c>
      <c r="AK244">
        <v>6</v>
      </c>
      <c r="AL244">
        <v>5</v>
      </c>
    </row>
    <row r="245" spans="1:38">
      <c r="B245" t="s">
        <v>13</v>
      </c>
      <c r="C245">
        <v>59</v>
      </c>
      <c r="D245">
        <v>58</v>
      </c>
      <c r="E245">
        <v>27</v>
      </c>
      <c r="F245">
        <v>21</v>
      </c>
      <c r="G245">
        <v>15</v>
      </c>
      <c r="H245">
        <v>9</v>
      </c>
      <c r="I245">
        <v>7</v>
      </c>
      <c r="J245">
        <v>4</v>
      </c>
      <c r="K245">
        <v>2</v>
      </c>
      <c r="L245">
        <v>2</v>
      </c>
      <c r="M245">
        <v>2</v>
      </c>
      <c r="N245">
        <v>1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59</v>
      </c>
      <c r="AB245">
        <v>58</v>
      </c>
      <c r="AC245">
        <v>27</v>
      </c>
      <c r="AD245">
        <v>21</v>
      </c>
      <c r="AE245">
        <v>15</v>
      </c>
      <c r="AF245">
        <v>9</v>
      </c>
      <c r="AG245">
        <v>7</v>
      </c>
      <c r="AH245">
        <v>4</v>
      </c>
      <c r="AI245">
        <v>2</v>
      </c>
      <c r="AJ245">
        <v>2</v>
      </c>
      <c r="AK245">
        <v>2</v>
      </c>
      <c r="AL245">
        <v>1</v>
      </c>
    </row>
    <row r="246" spans="1:38">
      <c r="B246" t="s">
        <v>14</v>
      </c>
      <c r="C246">
        <v>12</v>
      </c>
      <c r="D246">
        <v>15</v>
      </c>
      <c r="E246">
        <v>13</v>
      </c>
      <c r="F246">
        <v>5</v>
      </c>
      <c r="G246">
        <v>3</v>
      </c>
      <c r="H246">
        <v>1</v>
      </c>
      <c r="I246">
        <v>1</v>
      </c>
      <c r="J246">
        <v>0</v>
      </c>
      <c r="K246">
        <v>0</v>
      </c>
      <c r="L246">
        <v>0</v>
      </c>
      <c r="M246">
        <v>4</v>
      </c>
      <c r="N246">
        <v>4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12</v>
      </c>
      <c r="AB246">
        <v>15</v>
      </c>
      <c r="AC246">
        <v>13</v>
      </c>
      <c r="AD246">
        <v>5</v>
      </c>
      <c r="AE246">
        <v>3</v>
      </c>
      <c r="AF246">
        <v>1</v>
      </c>
      <c r="AG246">
        <v>1</v>
      </c>
      <c r="AH246">
        <v>0</v>
      </c>
      <c r="AI246">
        <v>0</v>
      </c>
      <c r="AJ246">
        <v>0</v>
      </c>
      <c r="AK246">
        <v>4</v>
      </c>
      <c r="AL246">
        <v>4</v>
      </c>
    </row>
    <row r="247" spans="1:38">
      <c r="B247" t="s">
        <v>15</v>
      </c>
      <c r="C247">
        <v>4</v>
      </c>
      <c r="D247">
        <v>4</v>
      </c>
      <c r="E247">
        <v>5</v>
      </c>
      <c r="F247">
        <v>3</v>
      </c>
      <c r="G247">
        <v>0</v>
      </c>
      <c r="H247">
        <v>0</v>
      </c>
      <c r="I247">
        <v>1</v>
      </c>
      <c r="J247">
        <v>3</v>
      </c>
      <c r="K247">
        <v>4</v>
      </c>
      <c r="L247">
        <v>4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4</v>
      </c>
      <c r="AB247">
        <v>4</v>
      </c>
      <c r="AC247">
        <v>5</v>
      </c>
      <c r="AD247">
        <v>3</v>
      </c>
      <c r="AE247">
        <v>0</v>
      </c>
      <c r="AF247">
        <v>0</v>
      </c>
      <c r="AG247">
        <v>1</v>
      </c>
      <c r="AH247">
        <v>3</v>
      </c>
      <c r="AI247">
        <v>4</v>
      </c>
      <c r="AJ247">
        <v>4</v>
      </c>
      <c r="AK247">
        <v>0</v>
      </c>
      <c r="AL247">
        <v>0</v>
      </c>
    </row>
    <row r="248" spans="1:38">
      <c r="B248" t="s">
        <v>16</v>
      </c>
      <c r="C248">
        <v>7</v>
      </c>
      <c r="D248">
        <v>7</v>
      </c>
      <c r="E248">
        <v>5</v>
      </c>
      <c r="F248">
        <v>4</v>
      </c>
      <c r="G248">
        <v>5</v>
      </c>
      <c r="H248">
        <v>6</v>
      </c>
      <c r="I248">
        <v>9</v>
      </c>
      <c r="J248">
        <v>4</v>
      </c>
      <c r="K248">
        <v>4</v>
      </c>
      <c r="L248">
        <v>3</v>
      </c>
      <c r="M248">
        <v>3</v>
      </c>
      <c r="N248">
        <v>3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7</v>
      </c>
      <c r="AB248">
        <v>7</v>
      </c>
      <c r="AC248">
        <v>5</v>
      </c>
      <c r="AD248">
        <v>4</v>
      </c>
      <c r="AE248">
        <v>5</v>
      </c>
      <c r="AF248">
        <v>6</v>
      </c>
      <c r="AG248">
        <v>9</v>
      </c>
      <c r="AH248">
        <v>4</v>
      </c>
      <c r="AI248">
        <v>4</v>
      </c>
      <c r="AJ248">
        <v>3</v>
      </c>
      <c r="AK248">
        <v>3</v>
      </c>
      <c r="AL248">
        <v>3</v>
      </c>
    </row>
    <row r="249" spans="1:38">
      <c r="B249" t="s">
        <v>17</v>
      </c>
      <c r="C249">
        <v>1</v>
      </c>
      <c r="D249">
        <v>2</v>
      </c>
      <c r="E249">
        <v>2</v>
      </c>
      <c r="F249">
        <v>1</v>
      </c>
      <c r="G249">
        <v>1</v>
      </c>
      <c r="H249">
        <v>1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1</v>
      </c>
      <c r="AB249">
        <v>2</v>
      </c>
      <c r="AC249">
        <v>2</v>
      </c>
      <c r="AD249">
        <v>1</v>
      </c>
      <c r="AE249">
        <v>1</v>
      </c>
      <c r="AF249">
        <v>1</v>
      </c>
      <c r="AG249">
        <v>0</v>
      </c>
      <c r="AH249">
        <v>0</v>
      </c>
      <c r="AI249">
        <v>0</v>
      </c>
      <c r="AJ249">
        <v>0</v>
      </c>
      <c r="AK249">
        <v>0</v>
      </c>
      <c r="AL249">
        <v>0</v>
      </c>
    </row>
    <row r="250" spans="1:38">
      <c r="A250" t="s">
        <v>91</v>
      </c>
      <c r="B250" t="s">
        <v>3</v>
      </c>
      <c r="C250">
        <v>96190</v>
      </c>
      <c r="D250">
        <v>93773</v>
      </c>
      <c r="E250">
        <v>91616</v>
      </c>
      <c r="F250">
        <v>89020</v>
      </c>
      <c r="G250">
        <v>86220</v>
      </c>
      <c r="H250">
        <v>82607</v>
      </c>
      <c r="I250">
        <v>79131</v>
      </c>
      <c r="J250">
        <v>74593</v>
      </c>
      <c r="K250">
        <v>72010</v>
      </c>
      <c r="L250">
        <v>69080</v>
      </c>
      <c r="M250">
        <v>65496</v>
      </c>
      <c r="N250">
        <v>61882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96190</v>
      </c>
      <c r="AB250">
        <v>93773</v>
      </c>
      <c r="AC250">
        <v>91616</v>
      </c>
      <c r="AD250">
        <v>89020</v>
      </c>
      <c r="AE250">
        <v>86220</v>
      </c>
      <c r="AF250">
        <v>82607</v>
      </c>
      <c r="AG250">
        <v>79131</v>
      </c>
      <c r="AH250">
        <v>74593</v>
      </c>
      <c r="AI250">
        <v>72010</v>
      </c>
      <c r="AJ250">
        <v>69080</v>
      </c>
      <c r="AK250">
        <v>65496</v>
      </c>
      <c r="AL250">
        <v>61882</v>
      </c>
    </row>
    <row r="251" spans="1:38">
      <c r="B251" t="s">
        <v>5</v>
      </c>
      <c r="C251">
        <v>93072</v>
      </c>
      <c r="D251">
        <v>90723</v>
      </c>
      <c r="E251">
        <v>88880</v>
      </c>
      <c r="F251">
        <v>86906</v>
      </c>
      <c r="G251">
        <v>84619</v>
      </c>
      <c r="H251">
        <v>81262</v>
      </c>
      <c r="I251">
        <v>77939</v>
      </c>
      <c r="J251">
        <v>73656</v>
      </c>
      <c r="K251">
        <v>71135</v>
      </c>
      <c r="L251">
        <v>68233</v>
      </c>
      <c r="M251">
        <v>64809</v>
      </c>
      <c r="N251">
        <v>61265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93072</v>
      </c>
      <c r="AB251">
        <v>90723</v>
      </c>
      <c r="AC251">
        <v>88880</v>
      </c>
      <c r="AD251">
        <v>86906</v>
      </c>
      <c r="AE251">
        <v>84619</v>
      </c>
      <c r="AF251">
        <v>81262</v>
      </c>
      <c r="AG251">
        <v>77939</v>
      </c>
      <c r="AH251">
        <v>73656</v>
      </c>
      <c r="AI251">
        <v>71135</v>
      </c>
      <c r="AJ251">
        <v>68233</v>
      </c>
      <c r="AK251">
        <v>64809</v>
      </c>
      <c r="AL251">
        <v>61265</v>
      </c>
    </row>
    <row r="252" spans="1:38">
      <c r="B252" t="s">
        <v>6</v>
      </c>
      <c r="C252">
        <v>5</v>
      </c>
      <c r="D252">
        <v>8</v>
      </c>
      <c r="E252">
        <v>7</v>
      </c>
      <c r="F252">
        <v>10</v>
      </c>
      <c r="G252">
        <v>10</v>
      </c>
      <c r="H252">
        <v>9</v>
      </c>
      <c r="I252">
        <v>12</v>
      </c>
      <c r="J252">
        <v>12</v>
      </c>
      <c r="K252">
        <v>12</v>
      </c>
      <c r="L252">
        <v>14</v>
      </c>
      <c r="M252">
        <v>15</v>
      </c>
      <c r="N252">
        <v>14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5</v>
      </c>
      <c r="AB252">
        <v>8</v>
      </c>
      <c r="AC252">
        <v>7</v>
      </c>
      <c r="AD252">
        <v>10</v>
      </c>
      <c r="AE252">
        <v>10</v>
      </c>
      <c r="AF252">
        <v>9</v>
      </c>
      <c r="AG252">
        <v>12</v>
      </c>
      <c r="AH252">
        <v>12</v>
      </c>
      <c r="AI252">
        <v>12</v>
      </c>
      <c r="AJ252">
        <v>14</v>
      </c>
      <c r="AK252">
        <v>15</v>
      </c>
      <c r="AL252">
        <v>14</v>
      </c>
    </row>
    <row r="253" spans="1:38">
      <c r="B253" t="s">
        <v>7</v>
      </c>
      <c r="C253">
        <v>2706</v>
      </c>
      <c r="D253">
        <v>2644</v>
      </c>
      <c r="E253">
        <v>2370</v>
      </c>
      <c r="F253">
        <v>1830</v>
      </c>
      <c r="G253">
        <v>1398</v>
      </c>
      <c r="H253">
        <v>1167</v>
      </c>
      <c r="I253">
        <v>1033</v>
      </c>
      <c r="J253">
        <v>807</v>
      </c>
      <c r="K253">
        <v>749</v>
      </c>
      <c r="L253">
        <v>722</v>
      </c>
      <c r="M253">
        <v>579</v>
      </c>
      <c r="N253">
        <v>521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2706</v>
      </c>
      <c r="AB253">
        <v>2644</v>
      </c>
      <c r="AC253">
        <v>2370</v>
      </c>
      <c r="AD253">
        <v>1830</v>
      </c>
      <c r="AE253">
        <v>1398</v>
      </c>
      <c r="AF253">
        <v>1167</v>
      </c>
      <c r="AG253">
        <v>1033</v>
      </c>
      <c r="AH253">
        <v>807</v>
      </c>
      <c r="AI253">
        <v>749</v>
      </c>
      <c r="AJ253">
        <v>722</v>
      </c>
      <c r="AK253">
        <v>579</v>
      </c>
      <c r="AL253">
        <v>521</v>
      </c>
    </row>
    <row r="254" spans="1:38">
      <c r="B254" t="s">
        <v>8</v>
      </c>
      <c r="C254">
        <v>276</v>
      </c>
      <c r="D254">
        <v>271</v>
      </c>
      <c r="E254">
        <v>246</v>
      </c>
      <c r="F254">
        <v>182</v>
      </c>
      <c r="G254">
        <v>123</v>
      </c>
      <c r="H254">
        <v>107</v>
      </c>
      <c r="I254">
        <v>92</v>
      </c>
      <c r="J254">
        <v>66</v>
      </c>
      <c r="K254">
        <v>62</v>
      </c>
      <c r="L254">
        <v>59</v>
      </c>
      <c r="M254">
        <v>48</v>
      </c>
      <c r="N254">
        <v>45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276</v>
      </c>
      <c r="AB254">
        <v>271</v>
      </c>
      <c r="AC254">
        <v>246</v>
      </c>
      <c r="AD254">
        <v>182</v>
      </c>
      <c r="AE254">
        <v>123</v>
      </c>
      <c r="AF254">
        <v>107</v>
      </c>
      <c r="AG254">
        <v>92</v>
      </c>
      <c r="AH254">
        <v>66</v>
      </c>
      <c r="AI254">
        <v>62</v>
      </c>
      <c r="AJ254">
        <v>59</v>
      </c>
      <c r="AK254">
        <v>48</v>
      </c>
      <c r="AL254">
        <v>45</v>
      </c>
    </row>
    <row r="255" spans="1:38">
      <c r="B255" t="s">
        <v>9</v>
      </c>
      <c r="C255">
        <v>65</v>
      </c>
      <c r="D255">
        <v>62</v>
      </c>
      <c r="E255">
        <v>57</v>
      </c>
      <c r="F255">
        <v>38</v>
      </c>
      <c r="G255">
        <v>26</v>
      </c>
      <c r="H255">
        <v>27</v>
      </c>
      <c r="I255">
        <v>24</v>
      </c>
      <c r="J255">
        <v>25</v>
      </c>
      <c r="K255">
        <v>26</v>
      </c>
      <c r="L255">
        <v>27</v>
      </c>
      <c r="M255">
        <v>20</v>
      </c>
      <c r="N255">
        <v>13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65</v>
      </c>
      <c r="AB255">
        <v>62</v>
      </c>
      <c r="AC255">
        <v>57</v>
      </c>
      <c r="AD255">
        <v>38</v>
      </c>
      <c r="AE255">
        <v>26</v>
      </c>
      <c r="AF255">
        <v>27</v>
      </c>
      <c r="AG255">
        <v>24</v>
      </c>
      <c r="AH255">
        <v>25</v>
      </c>
      <c r="AI255">
        <v>26</v>
      </c>
      <c r="AJ255">
        <v>27</v>
      </c>
      <c r="AK255">
        <v>20</v>
      </c>
      <c r="AL255">
        <v>13</v>
      </c>
    </row>
    <row r="256" spans="1:38">
      <c r="B256" t="s">
        <v>10</v>
      </c>
      <c r="C256">
        <v>20</v>
      </c>
      <c r="D256">
        <v>19</v>
      </c>
      <c r="E256">
        <v>18</v>
      </c>
      <c r="F256">
        <v>21</v>
      </c>
      <c r="G256">
        <v>14</v>
      </c>
      <c r="H256">
        <v>8</v>
      </c>
      <c r="I256">
        <v>8</v>
      </c>
      <c r="J256">
        <v>21</v>
      </c>
      <c r="K256">
        <v>20</v>
      </c>
      <c r="L256">
        <v>19</v>
      </c>
      <c r="M256">
        <v>21</v>
      </c>
      <c r="N256">
        <v>20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20</v>
      </c>
      <c r="AB256">
        <v>19</v>
      </c>
      <c r="AC256">
        <v>18</v>
      </c>
      <c r="AD256">
        <v>21</v>
      </c>
      <c r="AE256">
        <v>14</v>
      </c>
      <c r="AF256">
        <v>8</v>
      </c>
      <c r="AG256">
        <v>8</v>
      </c>
      <c r="AH256">
        <v>21</v>
      </c>
      <c r="AI256">
        <v>20</v>
      </c>
      <c r="AJ256">
        <v>19</v>
      </c>
      <c r="AK256">
        <v>21</v>
      </c>
      <c r="AL256">
        <v>20</v>
      </c>
    </row>
    <row r="257" spans="2:38">
      <c r="B257" t="s">
        <v>11</v>
      </c>
      <c r="C257">
        <v>14</v>
      </c>
      <c r="D257">
        <v>14</v>
      </c>
      <c r="E257">
        <v>8</v>
      </c>
      <c r="F257">
        <v>6</v>
      </c>
      <c r="G257">
        <v>22</v>
      </c>
      <c r="H257">
        <v>22</v>
      </c>
      <c r="I257">
        <v>19</v>
      </c>
      <c r="J257">
        <v>2</v>
      </c>
      <c r="K257">
        <v>3</v>
      </c>
      <c r="L257">
        <v>3</v>
      </c>
      <c r="M257">
        <v>1</v>
      </c>
      <c r="N257">
        <v>1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14</v>
      </c>
      <c r="AB257">
        <v>14</v>
      </c>
      <c r="AC257">
        <v>8</v>
      </c>
      <c r="AD257">
        <v>6</v>
      </c>
      <c r="AE257">
        <v>22</v>
      </c>
      <c r="AF257">
        <v>22</v>
      </c>
      <c r="AG257">
        <v>19</v>
      </c>
      <c r="AH257">
        <v>2</v>
      </c>
      <c r="AI257">
        <v>3</v>
      </c>
      <c r="AJ257">
        <v>3</v>
      </c>
      <c r="AK257">
        <v>1</v>
      </c>
      <c r="AL257">
        <v>1</v>
      </c>
    </row>
    <row r="258" spans="2:38">
      <c r="B258" t="s">
        <v>12</v>
      </c>
      <c r="C258">
        <v>4</v>
      </c>
      <c r="D258">
        <v>4</v>
      </c>
      <c r="E258">
        <v>23</v>
      </c>
      <c r="F258">
        <v>21</v>
      </c>
      <c r="G258">
        <v>4</v>
      </c>
      <c r="H258">
        <v>2</v>
      </c>
      <c r="I258">
        <v>1</v>
      </c>
      <c r="J258">
        <v>2</v>
      </c>
      <c r="K258">
        <v>1</v>
      </c>
      <c r="L258">
        <v>1</v>
      </c>
      <c r="M258">
        <v>2</v>
      </c>
      <c r="N258">
        <v>2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4</v>
      </c>
      <c r="AB258">
        <v>4</v>
      </c>
      <c r="AC258">
        <v>23</v>
      </c>
      <c r="AD258">
        <v>21</v>
      </c>
      <c r="AE258">
        <v>4</v>
      </c>
      <c r="AF258">
        <v>2</v>
      </c>
      <c r="AG258">
        <v>1</v>
      </c>
      <c r="AH258">
        <v>2</v>
      </c>
      <c r="AI258">
        <v>1</v>
      </c>
      <c r="AJ258">
        <v>1</v>
      </c>
      <c r="AK258">
        <v>2</v>
      </c>
      <c r="AL258">
        <v>2</v>
      </c>
    </row>
    <row r="259" spans="2:38">
      <c r="B259" t="s">
        <v>13</v>
      </c>
      <c r="C259">
        <v>21</v>
      </c>
      <c r="D259">
        <v>21</v>
      </c>
      <c r="E259">
        <v>1</v>
      </c>
      <c r="F259">
        <v>1</v>
      </c>
      <c r="G259">
        <v>1</v>
      </c>
      <c r="H259">
        <v>1</v>
      </c>
      <c r="I259">
        <v>2</v>
      </c>
      <c r="J259">
        <v>1</v>
      </c>
      <c r="K259">
        <v>1</v>
      </c>
      <c r="L259">
        <v>1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21</v>
      </c>
      <c r="AB259">
        <v>21</v>
      </c>
      <c r="AC259">
        <v>1</v>
      </c>
      <c r="AD259">
        <v>1</v>
      </c>
      <c r="AE259">
        <v>1</v>
      </c>
      <c r="AF259">
        <v>1</v>
      </c>
      <c r="AG259">
        <v>2</v>
      </c>
      <c r="AH259">
        <v>1</v>
      </c>
      <c r="AI259">
        <v>1</v>
      </c>
      <c r="AJ259">
        <v>1</v>
      </c>
      <c r="AK259">
        <v>0</v>
      </c>
      <c r="AL259">
        <v>0</v>
      </c>
    </row>
    <row r="260" spans="2:38">
      <c r="B260" t="s">
        <v>14</v>
      </c>
      <c r="C260">
        <v>1</v>
      </c>
      <c r="D260">
        <v>1</v>
      </c>
      <c r="E260">
        <v>1</v>
      </c>
      <c r="F260">
        <v>1</v>
      </c>
      <c r="G260">
        <v>1</v>
      </c>
      <c r="H260">
        <v>1</v>
      </c>
      <c r="I260">
        <v>0</v>
      </c>
      <c r="J260">
        <v>0</v>
      </c>
      <c r="K260">
        <v>0</v>
      </c>
      <c r="L260">
        <v>0</v>
      </c>
      <c r="M260">
        <v>1</v>
      </c>
      <c r="N260">
        <v>1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1</v>
      </c>
      <c r="AB260">
        <v>1</v>
      </c>
      <c r="AC260">
        <v>1</v>
      </c>
      <c r="AD260">
        <v>1</v>
      </c>
      <c r="AE260">
        <v>1</v>
      </c>
      <c r="AF260">
        <v>1</v>
      </c>
      <c r="AG260">
        <v>0</v>
      </c>
      <c r="AH260">
        <v>0</v>
      </c>
      <c r="AI260">
        <v>0</v>
      </c>
      <c r="AJ260">
        <v>0</v>
      </c>
      <c r="AK260">
        <v>1</v>
      </c>
      <c r="AL260">
        <v>1</v>
      </c>
    </row>
    <row r="261" spans="2:38">
      <c r="B261" t="s">
        <v>15</v>
      </c>
      <c r="C261">
        <v>1</v>
      </c>
      <c r="D261">
        <v>1</v>
      </c>
      <c r="E261">
        <v>1</v>
      </c>
      <c r="F261">
        <v>1</v>
      </c>
      <c r="G261">
        <v>1</v>
      </c>
      <c r="H261">
        <v>0</v>
      </c>
      <c r="I261">
        <v>0</v>
      </c>
      <c r="J261">
        <v>1</v>
      </c>
      <c r="K261">
        <v>1</v>
      </c>
      <c r="L261">
        <v>1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1</v>
      </c>
      <c r="AB261">
        <v>1</v>
      </c>
      <c r="AC261">
        <v>1</v>
      </c>
      <c r="AD261">
        <v>1</v>
      </c>
      <c r="AE261">
        <v>1</v>
      </c>
      <c r="AF261">
        <v>0</v>
      </c>
      <c r="AG261">
        <v>0</v>
      </c>
      <c r="AH261">
        <v>1</v>
      </c>
      <c r="AI261">
        <v>1</v>
      </c>
      <c r="AJ261">
        <v>1</v>
      </c>
      <c r="AK261">
        <v>0</v>
      </c>
      <c r="AL261">
        <v>0</v>
      </c>
    </row>
    <row r="262" spans="2:38">
      <c r="B262" t="s">
        <v>16</v>
      </c>
      <c r="C262">
        <v>4</v>
      </c>
      <c r="D262">
        <v>4</v>
      </c>
      <c r="E262">
        <v>3</v>
      </c>
      <c r="F262">
        <v>2</v>
      </c>
      <c r="G262">
        <v>1</v>
      </c>
      <c r="H262">
        <v>1</v>
      </c>
      <c r="I262">
        <v>1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4</v>
      </c>
      <c r="AB262">
        <v>4</v>
      </c>
      <c r="AC262">
        <v>3</v>
      </c>
      <c r="AD262">
        <v>2</v>
      </c>
      <c r="AE262">
        <v>1</v>
      </c>
      <c r="AF262">
        <v>1</v>
      </c>
      <c r="AG262">
        <v>1</v>
      </c>
      <c r="AH262">
        <v>0</v>
      </c>
      <c r="AI262">
        <v>0</v>
      </c>
      <c r="AJ262">
        <v>0</v>
      </c>
      <c r="AK262">
        <v>0</v>
      </c>
      <c r="AL262">
        <v>0</v>
      </c>
    </row>
    <row r="263" spans="2:38">
      <c r="B263" t="s">
        <v>17</v>
      </c>
      <c r="C263">
        <v>1</v>
      </c>
      <c r="D263">
        <v>1</v>
      </c>
      <c r="E263">
        <v>1</v>
      </c>
      <c r="F263">
        <v>1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1</v>
      </c>
      <c r="AB263">
        <v>1</v>
      </c>
      <c r="AC263">
        <v>1</v>
      </c>
      <c r="AD263">
        <v>1</v>
      </c>
      <c r="AE263">
        <v>0</v>
      </c>
      <c r="AF263">
        <v>0</v>
      </c>
      <c r="AG263">
        <v>0</v>
      </c>
      <c r="AH263">
        <v>0</v>
      </c>
      <c r="AI263">
        <v>0</v>
      </c>
      <c r="AJ263">
        <v>0</v>
      </c>
      <c r="AK263">
        <v>0</v>
      </c>
      <c r="AL263">
        <v>0</v>
      </c>
    </row>
  </sheetData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P46"/>
  <sheetViews>
    <sheetView showGridLines="0" zoomScale="70" zoomScaleNormal="70" workbookViewId="0">
      <selection activeCell="D10" sqref="D10"/>
    </sheetView>
  </sheetViews>
  <sheetFormatPr defaultRowHeight="16.5"/>
  <cols>
    <col min="1" max="1" width="9.140625" style="99" customWidth="1"/>
    <col min="2" max="2" width="28.7109375" style="99" customWidth="1"/>
    <col min="3" max="3" width="23.5703125" style="99" customWidth="1"/>
    <col min="4" max="15" width="8.7109375" style="99" customWidth="1"/>
    <col min="16" max="16" width="7.140625" style="129" customWidth="1"/>
    <col min="17" max="17" width="7.7109375" style="99" bestFit="1" customWidth="1"/>
    <col min="18" max="27" width="8.7109375" style="99" customWidth="1"/>
    <col min="28" max="28" width="11.85546875" style="99" bestFit="1" customWidth="1"/>
    <col min="29" max="29" width="8.28515625" style="99" bestFit="1" customWidth="1"/>
    <col min="30" max="40" width="8.7109375" style="99" customWidth="1"/>
    <col min="41" max="41" width="8.140625" style="99" bestFit="1" customWidth="1"/>
    <col min="42" max="16384" width="9.140625" style="99"/>
  </cols>
  <sheetData>
    <row r="1" spans="1:42" ht="9.75" customHeight="1">
      <c r="P1" s="129">
        <v>1000000</v>
      </c>
    </row>
    <row r="2" spans="1:42" s="100" customFormat="1" ht="27">
      <c r="A2" s="101"/>
      <c r="B2" s="133" t="s">
        <v>93</v>
      </c>
      <c r="C2" s="101"/>
      <c r="D2" s="632" t="s">
        <v>102</v>
      </c>
      <c r="E2" s="632"/>
      <c r="F2" s="632"/>
      <c r="G2" s="632"/>
      <c r="H2" s="632"/>
      <c r="I2" s="632"/>
      <c r="J2" s="632"/>
      <c r="K2" s="632"/>
      <c r="L2" s="632"/>
      <c r="M2" s="632"/>
      <c r="N2" s="632"/>
      <c r="O2" s="632"/>
      <c r="P2" s="130"/>
      <c r="Q2" s="632" t="s">
        <v>56</v>
      </c>
      <c r="R2" s="632"/>
      <c r="S2" s="632"/>
      <c r="T2" s="632"/>
      <c r="U2" s="632"/>
      <c r="V2" s="632"/>
      <c r="W2" s="632"/>
      <c r="X2" s="632"/>
      <c r="Y2" s="632"/>
      <c r="Z2" s="632"/>
      <c r="AA2" s="632"/>
      <c r="AB2" s="632"/>
      <c r="AC2" s="127"/>
      <c r="AD2" s="632" t="s">
        <v>37</v>
      </c>
      <c r="AE2" s="632"/>
      <c r="AF2" s="632"/>
      <c r="AG2" s="632"/>
      <c r="AH2" s="632"/>
      <c r="AI2" s="632"/>
      <c r="AJ2" s="632"/>
      <c r="AK2" s="632"/>
      <c r="AL2" s="632"/>
      <c r="AM2" s="632"/>
      <c r="AN2" s="632"/>
      <c r="AO2" s="632"/>
    </row>
    <row r="3" spans="1:42" ht="27" customHeight="1">
      <c r="B3" s="108"/>
      <c r="C3" s="108"/>
      <c r="D3" s="36">
        <v>2002</v>
      </c>
      <c r="E3" s="36">
        <v>2003</v>
      </c>
      <c r="F3" s="36">
        <v>2004</v>
      </c>
      <c r="G3" s="36">
        <v>2005</v>
      </c>
      <c r="H3" s="36">
        <v>2006</v>
      </c>
      <c r="I3" s="36">
        <v>2007</v>
      </c>
      <c r="J3" s="36">
        <v>2008</v>
      </c>
      <c r="K3" s="36">
        <v>2009</v>
      </c>
      <c r="L3" s="36">
        <v>2010</v>
      </c>
      <c r="M3" s="36">
        <v>2011</v>
      </c>
      <c r="N3" s="36">
        <v>2012</v>
      </c>
      <c r="O3" s="36">
        <v>2013</v>
      </c>
      <c r="P3" s="131">
        <v>2014</v>
      </c>
      <c r="Q3" s="36">
        <v>2002</v>
      </c>
      <c r="R3" s="36">
        <v>2003</v>
      </c>
      <c r="S3" s="36">
        <v>2004</v>
      </c>
      <c r="T3" s="36">
        <v>2005</v>
      </c>
      <c r="U3" s="36">
        <v>2006</v>
      </c>
      <c r="V3" s="36">
        <v>2007</v>
      </c>
      <c r="W3" s="36">
        <v>2008</v>
      </c>
      <c r="X3" s="36">
        <v>2009</v>
      </c>
      <c r="Y3" s="36">
        <v>2010</v>
      </c>
      <c r="Z3" s="36">
        <v>2011</v>
      </c>
      <c r="AA3" s="36">
        <v>2012</v>
      </c>
      <c r="AB3" s="36">
        <v>2013</v>
      </c>
      <c r="AC3" s="36">
        <v>2014</v>
      </c>
      <c r="AD3" s="36">
        <v>2002</v>
      </c>
      <c r="AE3" s="36">
        <v>2003</v>
      </c>
      <c r="AF3" s="36">
        <v>2004</v>
      </c>
      <c r="AG3" s="36">
        <v>2005</v>
      </c>
      <c r="AH3" s="36">
        <v>2006</v>
      </c>
      <c r="AI3" s="36">
        <v>2007</v>
      </c>
      <c r="AJ3" s="36">
        <v>2008</v>
      </c>
      <c r="AK3" s="36">
        <v>2009</v>
      </c>
      <c r="AL3" s="36">
        <v>2010</v>
      </c>
      <c r="AM3" s="36">
        <v>2011</v>
      </c>
      <c r="AN3" s="36">
        <v>2012</v>
      </c>
      <c r="AO3" s="36">
        <v>2013</v>
      </c>
      <c r="AP3" s="36">
        <v>2014</v>
      </c>
    </row>
    <row r="4" spans="1:42">
      <c r="A4" s="99">
        <f>SUM(P4)/P25</f>
        <v>0.28070070652385171</v>
      </c>
      <c r="B4" s="106" t="s">
        <v>53</v>
      </c>
      <c r="C4" s="105" t="s">
        <v>3</v>
      </c>
      <c r="D4" s="110">
        <f>RGPS_Quantidade_Dezembro!C19/1000</f>
        <v>3493.0239999999999</v>
      </c>
      <c r="E4" s="110">
        <f>RGPS_Quantidade_Dezembro!D19/1000</f>
        <v>3548.5770000000002</v>
      </c>
      <c r="F4" s="110">
        <f>RGPS_Quantidade_Dezembro!E19/1000</f>
        <v>3655.5990000000002</v>
      </c>
      <c r="G4" s="110">
        <f>RGPS_Quantidade_Dezembro!F19/1000</f>
        <v>3694.355</v>
      </c>
      <c r="H4" s="110">
        <f>RGPS_Quantidade_Dezembro!G19/1000</f>
        <v>3781.1930000000002</v>
      </c>
      <c r="I4" s="110">
        <f>RGPS_Quantidade_Dezembro!H19/1000</f>
        <v>3931.9540000000002</v>
      </c>
      <c r="J4" s="110">
        <f>RGPS_Quantidade_Dezembro!I19/1000</f>
        <v>4105.3289999999997</v>
      </c>
      <c r="K4" s="110">
        <f>RGPS_Quantidade_Dezembro!J19/1000</f>
        <v>4302.549</v>
      </c>
      <c r="L4" s="110">
        <f>RGPS_Quantidade_Dezembro!K19/1000</f>
        <v>4471.3580000000002</v>
      </c>
      <c r="M4" s="110">
        <f>RGPS_Quantidade_Dezembro!L19/1000</f>
        <v>4656.29</v>
      </c>
      <c r="N4" s="110">
        <f>RGPS_Quantidade_Dezembro!M19/1000</f>
        <v>4844.9399999999996</v>
      </c>
      <c r="O4" s="110">
        <f>RGPS_Quantidade_Dezembro!N19/1000</f>
        <v>5045.9970000000003</v>
      </c>
      <c r="P4" s="110">
        <v>5235.3980000000001</v>
      </c>
      <c r="Q4" s="112">
        <f>RGPS_Quantidade_Dezembro!O19/1000</f>
        <v>6.5670000000000002</v>
      </c>
      <c r="R4" s="112">
        <f>RGPS_Quantidade_Dezembro!P19/1000</f>
        <v>6.9379999999999997</v>
      </c>
      <c r="S4" s="112">
        <f>RGPS_Quantidade_Dezembro!Q19/1000</f>
        <v>7.64</v>
      </c>
      <c r="T4" s="112">
        <f>RGPS_Quantidade_Dezembro!R19/1000</f>
        <v>9.0090000000000003</v>
      </c>
      <c r="U4" s="112">
        <f>RGPS_Quantidade_Dezembro!S19/1000</f>
        <v>10.462</v>
      </c>
      <c r="V4" s="112">
        <f>RGPS_Quantidade_Dezembro!T19/1000</f>
        <v>11.385</v>
      </c>
      <c r="W4" s="112">
        <f>RGPS_Quantidade_Dezembro!U19/1000</f>
        <v>12.643000000000001</v>
      </c>
      <c r="X4" s="112">
        <f>RGPS_Quantidade_Dezembro!V19/1000</f>
        <v>14.23</v>
      </c>
      <c r="Y4" s="112">
        <f>RGPS_Quantidade_Dezembro!W19/1000</f>
        <v>15.34</v>
      </c>
      <c r="Z4" s="112">
        <f>RGPS_Quantidade_Dezembro!X19/1000</f>
        <v>16.353000000000002</v>
      </c>
      <c r="AA4" s="112">
        <f>RGPS_Quantidade_Dezembro!Y19/1000</f>
        <v>17.274999999999999</v>
      </c>
      <c r="AB4" s="112">
        <f>RGPS_Quantidade_Dezembro!Z19/1000</f>
        <v>18.344999999999999</v>
      </c>
      <c r="AC4" s="112">
        <v>19.513000000000002</v>
      </c>
      <c r="AD4" s="109">
        <f>RGPS_Quantidade_Dezembro!AA19/1000</f>
        <v>3499.5909999999999</v>
      </c>
      <c r="AE4" s="109">
        <f>RGPS_Quantidade_Dezembro!AB19/1000</f>
        <v>3555.5149999999999</v>
      </c>
      <c r="AF4" s="109">
        <f>RGPS_Quantidade_Dezembro!AC19/1000</f>
        <v>3663.239</v>
      </c>
      <c r="AG4" s="109">
        <f>RGPS_Quantidade_Dezembro!AD19/1000</f>
        <v>3703.364</v>
      </c>
      <c r="AH4" s="109">
        <f>RGPS_Quantidade_Dezembro!AE19/1000</f>
        <v>3791.6550000000002</v>
      </c>
      <c r="AI4" s="109">
        <f>RGPS_Quantidade_Dezembro!AF19/1000</f>
        <v>3943.3389999999999</v>
      </c>
      <c r="AJ4" s="109">
        <f>RGPS_Quantidade_Dezembro!AG19/1000</f>
        <v>4117.9719999999998</v>
      </c>
      <c r="AK4" s="109">
        <f>RGPS_Quantidade_Dezembro!AH19/1000</f>
        <v>4316.7790000000005</v>
      </c>
      <c r="AL4" s="109">
        <f>RGPS_Quantidade_Dezembro!AI19/1000</f>
        <v>4486.6980000000003</v>
      </c>
      <c r="AM4" s="109">
        <f>RGPS_Quantidade_Dezembro!AJ19/1000</f>
        <v>4672.643</v>
      </c>
      <c r="AN4" s="109">
        <f>RGPS_Quantidade_Dezembro!AK19/1000</f>
        <v>4862.2150000000001</v>
      </c>
      <c r="AO4" s="109">
        <f>RGPS_Quantidade_Dezembro!AL19/1000</f>
        <v>5064.3419999999996</v>
      </c>
      <c r="AP4" s="109">
        <f>SUM(AC4,P4)</f>
        <v>5254.9110000000001</v>
      </c>
    </row>
    <row r="5" spans="1:42">
      <c r="B5" s="106"/>
      <c r="C5" s="37" t="s">
        <v>22</v>
      </c>
      <c r="D5" s="110">
        <f>SUM(RGPS_Quantidade_Dezembro!C20:C21)/1000</f>
        <v>362.39</v>
      </c>
      <c r="E5" s="110">
        <f>SUM(RGPS_Quantidade_Dezembro!D20:D21)/1000</f>
        <v>368.89</v>
      </c>
      <c r="F5" s="110">
        <f>SUM(RGPS_Quantidade_Dezembro!E20:E21)/1000</f>
        <v>393.75900000000001</v>
      </c>
      <c r="G5" s="110">
        <f>SUM(RGPS_Quantidade_Dezembro!F20:F21)/1000</f>
        <v>446.77300000000002</v>
      </c>
      <c r="H5" s="110">
        <f>SUM(RGPS_Quantidade_Dezembro!G20:G21)/1000</f>
        <v>526.18499999999995</v>
      </c>
      <c r="I5" s="110">
        <f>SUM(RGPS_Quantidade_Dezembro!H20:H21)/1000</f>
        <v>585.50699999999995</v>
      </c>
      <c r="J5" s="110">
        <f>SUM(RGPS_Quantidade_Dezembro!I20:I21)/1000</f>
        <v>654.82600000000002</v>
      </c>
      <c r="K5" s="110">
        <f>SUM(RGPS_Quantidade_Dezembro!J20:J21)/1000</f>
        <v>751.726</v>
      </c>
      <c r="L5" s="110">
        <f>SUM(RGPS_Quantidade_Dezembro!K20:K21)/1000</f>
        <v>808.25900000000001</v>
      </c>
      <c r="M5" s="110">
        <f>SUM(RGPS_Quantidade_Dezembro!L20:L21)/1000</f>
        <v>851.23400000000004</v>
      </c>
      <c r="N5" s="110">
        <f>SUM(RGPS_Quantidade_Dezembro!M20:M21)/1000</f>
        <v>976.57</v>
      </c>
      <c r="O5" s="110">
        <f>SUM(RGPS_Quantidade_Dezembro!N20:N21)/1000</f>
        <v>1053.3510000000001</v>
      </c>
      <c r="P5" s="110">
        <v>1107.8910000000001</v>
      </c>
      <c r="Q5" s="112">
        <f>SUM(RGPS_Quantidade_Dezembro!O20:O21)/1000</f>
        <v>1.857</v>
      </c>
      <c r="R5" s="112">
        <f>SUM(RGPS_Quantidade_Dezembro!P20:P21)/1000</f>
        <v>1.91</v>
      </c>
      <c r="S5" s="112">
        <f>SUM(RGPS_Quantidade_Dezembro!Q20:Q21)/1000</f>
        <v>2.15</v>
      </c>
      <c r="T5" s="112">
        <f>SUM(RGPS_Quantidade_Dezembro!R20:R21)/1000</f>
        <v>2.9990000000000001</v>
      </c>
      <c r="U5" s="112">
        <f>SUM(RGPS_Quantidade_Dezembro!S20:S21)/1000</f>
        <v>4.0970000000000004</v>
      </c>
      <c r="V5" s="112">
        <f>SUM(RGPS_Quantidade_Dezembro!T20:T21)/1000</f>
        <v>4.9039999999999999</v>
      </c>
      <c r="W5" s="112">
        <f>SUM(RGPS_Quantidade_Dezembro!U20:U21)/1000</f>
        <v>5.8810000000000002</v>
      </c>
      <c r="X5" s="112">
        <f>SUM(RGPS_Quantidade_Dezembro!V20:V21)/1000</f>
        <v>7.431</v>
      </c>
      <c r="Y5" s="112">
        <f>SUM(RGPS_Quantidade_Dezembro!W20:W21)/1000</f>
        <v>8.2729999999999997</v>
      </c>
      <c r="Z5" s="112">
        <f>SUM(RGPS_Quantidade_Dezembro!X20:X21)/1000</f>
        <v>9.0340000000000007</v>
      </c>
      <c r="AA5" s="112">
        <f>SUM(RGPS_Quantidade_Dezembro!Y20:Y21)/1000</f>
        <v>10.372999999999999</v>
      </c>
      <c r="AB5" s="112">
        <f>SUM(RGPS_Quantidade_Dezembro!Z20:Z21)/1000</f>
        <v>11.397</v>
      </c>
      <c r="AC5" s="112">
        <v>12.355</v>
      </c>
      <c r="AD5" s="109">
        <f>SUM(RGPS_Quantidade_Dezembro!AA20:AA21)/1000</f>
        <v>364.24700000000001</v>
      </c>
      <c r="AE5" s="109">
        <f>SUM(RGPS_Quantidade_Dezembro!AB20:AB21)/1000</f>
        <v>370.8</v>
      </c>
      <c r="AF5" s="109">
        <f>SUM(RGPS_Quantidade_Dezembro!AC20:AC21)/1000</f>
        <v>395.90899999999999</v>
      </c>
      <c r="AG5" s="109">
        <f>SUM(RGPS_Quantidade_Dezembro!AD20:AD21)/1000</f>
        <v>449.77199999999999</v>
      </c>
      <c r="AH5" s="109">
        <f>SUM(RGPS_Quantidade_Dezembro!AE20:AE21)/1000</f>
        <v>530.28200000000004</v>
      </c>
      <c r="AI5" s="109">
        <f>SUM(RGPS_Quantidade_Dezembro!AF20:AF21)/1000</f>
        <v>590.41099999999994</v>
      </c>
      <c r="AJ5" s="109">
        <f>SUM(RGPS_Quantidade_Dezembro!AG20:AG21)/1000</f>
        <v>660.70699999999999</v>
      </c>
      <c r="AK5" s="109">
        <f>SUM(RGPS_Quantidade_Dezembro!AH20:AH21)/1000</f>
        <v>759.15700000000004</v>
      </c>
      <c r="AL5" s="109">
        <f>SUM(RGPS_Quantidade_Dezembro!AI20:AI21)/1000</f>
        <v>816.53200000000004</v>
      </c>
      <c r="AM5" s="109">
        <f>SUM(RGPS_Quantidade_Dezembro!AJ20:AJ21)/1000</f>
        <v>860.26800000000003</v>
      </c>
      <c r="AN5" s="109">
        <f>SUM(RGPS_Quantidade_Dezembro!AK20:AK21)/1000</f>
        <v>986.94299999999998</v>
      </c>
      <c r="AO5" s="109">
        <f>SUM(RGPS_Quantidade_Dezembro!AL20:AL21)/1000</f>
        <v>1064.748</v>
      </c>
      <c r="AP5" s="109">
        <f t="shared" ref="AP5:AP27" si="0">SUM(AC5,P5)</f>
        <v>1120.2460000000001</v>
      </c>
    </row>
    <row r="6" spans="1:42">
      <c r="B6" s="106"/>
      <c r="C6" s="37" t="s">
        <v>40</v>
      </c>
      <c r="D6" s="110">
        <f>D4-D5</f>
        <v>3130.634</v>
      </c>
      <c r="E6" s="110">
        <f t="shared" ref="E6:P6" si="1">E4-E5</f>
        <v>3179.6870000000004</v>
      </c>
      <c r="F6" s="110">
        <f t="shared" si="1"/>
        <v>3261.84</v>
      </c>
      <c r="G6" s="110">
        <f t="shared" si="1"/>
        <v>3247.5819999999999</v>
      </c>
      <c r="H6" s="110">
        <f t="shared" si="1"/>
        <v>3255.0080000000003</v>
      </c>
      <c r="I6" s="110">
        <f t="shared" si="1"/>
        <v>3346.4470000000001</v>
      </c>
      <c r="J6" s="110">
        <f t="shared" si="1"/>
        <v>3450.5029999999997</v>
      </c>
      <c r="K6" s="110">
        <f t="shared" si="1"/>
        <v>3550.8229999999999</v>
      </c>
      <c r="L6" s="110">
        <f t="shared" si="1"/>
        <v>3663.0990000000002</v>
      </c>
      <c r="M6" s="110">
        <f t="shared" si="1"/>
        <v>3805.056</v>
      </c>
      <c r="N6" s="110">
        <f t="shared" si="1"/>
        <v>3868.3699999999994</v>
      </c>
      <c r="O6" s="110">
        <f t="shared" si="1"/>
        <v>3992.6460000000002</v>
      </c>
      <c r="P6" s="110">
        <f t="shared" si="1"/>
        <v>4127.5069999999996</v>
      </c>
      <c r="Q6" s="112">
        <f>Q4-Q5</f>
        <v>4.71</v>
      </c>
      <c r="R6" s="112">
        <f t="shared" ref="R6:AC6" si="2">R4-R5</f>
        <v>5.0279999999999996</v>
      </c>
      <c r="S6" s="112">
        <f t="shared" si="2"/>
        <v>5.49</v>
      </c>
      <c r="T6" s="112">
        <f t="shared" si="2"/>
        <v>6.01</v>
      </c>
      <c r="U6" s="112">
        <f t="shared" si="2"/>
        <v>6.3649999999999993</v>
      </c>
      <c r="V6" s="112">
        <f t="shared" si="2"/>
        <v>6.4809999999999999</v>
      </c>
      <c r="W6" s="112">
        <f t="shared" si="2"/>
        <v>6.7620000000000005</v>
      </c>
      <c r="X6" s="112">
        <f t="shared" si="2"/>
        <v>6.7990000000000004</v>
      </c>
      <c r="Y6" s="112">
        <f t="shared" si="2"/>
        <v>7.0670000000000002</v>
      </c>
      <c r="Z6" s="112">
        <f t="shared" si="2"/>
        <v>7.3190000000000008</v>
      </c>
      <c r="AA6" s="112">
        <f t="shared" si="2"/>
        <v>6.9019999999999992</v>
      </c>
      <c r="AB6" s="112">
        <f t="shared" si="2"/>
        <v>6.9479999999999986</v>
      </c>
      <c r="AC6" s="112">
        <f t="shared" si="2"/>
        <v>7.1580000000000013</v>
      </c>
      <c r="AD6" s="109">
        <f>AD4-AD5</f>
        <v>3135.3440000000001</v>
      </c>
      <c r="AE6" s="109">
        <f t="shared" ref="AE6:AO6" si="3">AE4-AE5</f>
        <v>3184.7149999999997</v>
      </c>
      <c r="AF6" s="109">
        <f t="shared" si="3"/>
        <v>3267.33</v>
      </c>
      <c r="AG6" s="109">
        <f t="shared" si="3"/>
        <v>3253.5920000000001</v>
      </c>
      <c r="AH6" s="109">
        <f t="shared" si="3"/>
        <v>3261.373</v>
      </c>
      <c r="AI6" s="109">
        <f t="shared" si="3"/>
        <v>3352.9279999999999</v>
      </c>
      <c r="AJ6" s="109">
        <f t="shared" si="3"/>
        <v>3457.2649999999999</v>
      </c>
      <c r="AK6" s="109">
        <f t="shared" si="3"/>
        <v>3557.6220000000003</v>
      </c>
      <c r="AL6" s="109">
        <f t="shared" si="3"/>
        <v>3670.1660000000002</v>
      </c>
      <c r="AM6" s="109">
        <f t="shared" si="3"/>
        <v>3812.375</v>
      </c>
      <c r="AN6" s="109">
        <f t="shared" si="3"/>
        <v>3875.2719999999999</v>
      </c>
      <c r="AO6" s="109">
        <f t="shared" si="3"/>
        <v>3999.5939999999996</v>
      </c>
      <c r="AP6" s="109">
        <f t="shared" si="0"/>
        <v>4134.665</v>
      </c>
    </row>
    <row r="7" spans="1:42">
      <c r="B7" s="106" t="s">
        <v>48</v>
      </c>
      <c r="C7" s="105" t="s">
        <v>3</v>
      </c>
      <c r="D7" s="110">
        <f>SUM(RGPS_Quantidade_Dezembro!C34)/1000</f>
        <v>1652.4739999999999</v>
      </c>
      <c r="E7" s="110">
        <f>SUM(RGPS_Quantidade_Dezembro!D34)/1000</f>
        <v>1766.317</v>
      </c>
      <c r="F7" s="110">
        <f>SUM(RGPS_Quantidade_Dezembro!E34)/1000</f>
        <v>1928.3109999999999</v>
      </c>
      <c r="G7" s="110">
        <f>SUM(RGPS_Quantidade_Dezembro!F34)/1000</f>
        <v>2029.558</v>
      </c>
      <c r="H7" s="110">
        <f>SUM(RGPS_Quantidade_Dezembro!G34)/1000</f>
        <v>2122.5479999999998</v>
      </c>
      <c r="I7" s="110">
        <f>SUM(RGPS_Quantidade_Dezembro!H34)/1000</f>
        <v>2234.5219999999999</v>
      </c>
      <c r="J7" s="110">
        <f>SUM(RGPS_Quantidade_Dezembro!I34)/1000</f>
        <v>2374.6880000000001</v>
      </c>
      <c r="K7" s="110">
        <f>SUM(RGPS_Quantidade_Dezembro!J34)/1000</f>
        <v>2537.6289999999999</v>
      </c>
      <c r="L7" s="110">
        <f>SUM(RGPS_Quantidade_Dezembro!K34)/1000</f>
        <v>2666.8249999999998</v>
      </c>
      <c r="M7" s="110">
        <f>SUM(RGPS_Quantidade_Dezembro!L34)/1000</f>
        <v>2805.0830000000001</v>
      </c>
      <c r="N7" s="110">
        <f>SUM(RGPS_Quantidade_Dezembro!M34)/1000</f>
        <v>2977.3209999999999</v>
      </c>
      <c r="O7" s="110">
        <f>SUM(RGPS_Quantidade_Dezembro!N34)/1000</f>
        <v>3172.9360000000001</v>
      </c>
      <c r="P7" s="110">
        <v>3368.2719999999999</v>
      </c>
      <c r="Q7" s="112">
        <f>SUM(RGPS_Quantidade_Dezembro!O34)/1000</f>
        <v>4287.817</v>
      </c>
      <c r="R7" s="112">
        <f>SUM(RGPS_Quantidade_Dezembro!P34)/1000</f>
        <v>4403.5609999999997</v>
      </c>
      <c r="S7" s="112">
        <f>SUM(RGPS_Quantidade_Dezembro!Q34)/1000</f>
        <v>4518.7950000000001</v>
      </c>
      <c r="T7" s="112">
        <f>SUM(RGPS_Quantidade_Dezembro!R34)/1000</f>
        <v>4647.3999999999996</v>
      </c>
      <c r="U7" s="112">
        <f>SUM(RGPS_Quantidade_Dezembro!S34)/1000</f>
        <v>4792.9390000000003</v>
      </c>
      <c r="V7" s="112">
        <f>SUM(RGPS_Quantidade_Dezembro!T34)/1000</f>
        <v>4947.8029999999999</v>
      </c>
      <c r="W7" s="112">
        <f>SUM(RGPS_Quantidade_Dezembro!U34)/1000</f>
        <v>5125.4040000000005</v>
      </c>
      <c r="X7" s="112">
        <f>SUM(RGPS_Quantidade_Dezembro!V34)/1000</f>
        <v>5319.2870000000003</v>
      </c>
      <c r="Y7" s="112">
        <f>SUM(RGPS_Quantidade_Dezembro!W34)/1000</f>
        <v>5494.9080000000004</v>
      </c>
      <c r="Z7" s="112">
        <f>SUM(RGPS_Quantidade_Dezembro!X34)/1000</f>
        <v>5651.942</v>
      </c>
      <c r="AA7" s="112">
        <f>SUM(RGPS_Quantidade_Dezembro!Y34)/1000</f>
        <v>5820.78</v>
      </c>
      <c r="AB7" s="112">
        <f>SUM(RGPS_Quantidade_Dezembro!Z34)/1000</f>
        <v>5992.0780000000004</v>
      </c>
      <c r="AC7" s="112">
        <v>6140.4229999999998</v>
      </c>
      <c r="AD7" s="109">
        <f>SUM(RGPS_Quantidade_Dezembro!AA34)/1000</f>
        <v>5940.2910000000002</v>
      </c>
      <c r="AE7" s="109">
        <f>SUM(RGPS_Quantidade_Dezembro!AB34)/1000</f>
        <v>6169.8779999999997</v>
      </c>
      <c r="AF7" s="109">
        <f>SUM(RGPS_Quantidade_Dezembro!AC34)/1000</f>
        <v>6447.1059999999998</v>
      </c>
      <c r="AG7" s="109">
        <f>SUM(RGPS_Quantidade_Dezembro!AD34)/1000</f>
        <v>6676.9579999999996</v>
      </c>
      <c r="AH7" s="109">
        <f>SUM(RGPS_Quantidade_Dezembro!AE34)/1000</f>
        <v>6915.4870000000001</v>
      </c>
      <c r="AI7" s="109">
        <f>SUM(RGPS_Quantidade_Dezembro!AF34)/1000</f>
        <v>7182.3249999999998</v>
      </c>
      <c r="AJ7" s="109">
        <f>SUM(RGPS_Quantidade_Dezembro!AG34)/1000</f>
        <v>7500.0919999999996</v>
      </c>
      <c r="AK7" s="109">
        <f>SUM(RGPS_Quantidade_Dezembro!AH34)/1000</f>
        <v>7856.9160000000002</v>
      </c>
      <c r="AL7" s="109">
        <f>SUM(RGPS_Quantidade_Dezembro!AI34)/1000</f>
        <v>8161.7330000000002</v>
      </c>
      <c r="AM7" s="109">
        <f>SUM(RGPS_Quantidade_Dezembro!AJ34)/1000</f>
        <v>8457.0249999999996</v>
      </c>
      <c r="AN7" s="109">
        <f>SUM(RGPS_Quantidade_Dezembro!AK34)/1000</f>
        <v>8798.1010000000006</v>
      </c>
      <c r="AO7" s="109">
        <f>SUM(RGPS_Quantidade_Dezembro!AL34)/1000</f>
        <v>9165.0139999999992</v>
      </c>
      <c r="AP7" s="109">
        <f t="shared" si="0"/>
        <v>9508.6949999999997</v>
      </c>
    </row>
    <row r="8" spans="1:42">
      <c r="B8" s="106"/>
      <c r="C8" s="37" t="s">
        <v>22</v>
      </c>
      <c r="D8" s="110">
        <f>SUM(RGPS_Quantidade_Dezembro!C35:C36)/1000</f>
        <v>922.39599999999996</v>
      </c>
      <c r="E8" s="110">
        <f>SUM(RGPS_Quantidade_Dezembro!D35:D36)/1000</f>
        <v>977.35799999999995</v>
      </c>
      <c r="F8" s="110">
        <f>SUM(RGPS_Quantidade_Dezembro!E35:E36)/1000</f>
        <v>1104.3340000000001</v>
      </c>
      <c r="G8" s="110">
        <f>SUM(RGPS_Quantidade_Dezembro!F35:F36)/1000</f>
        <v>1213.204</v>
      </c>
      <c r="H8" s="110">
        <f>SUM(RGPS_Quantidade_Dezembro!G35:G36)/1000</f>
        <v>1335.9010000000001</v>
      </c>
      <c r="I8" s="110">
        <f>SUM(RGPS_Quantidade_Dezembro!H35:H36)/1000</f>
        <v>1440.0250000000001</v>
      </c>
      <c r="J8" s="110">
        <f>SUM(RGPS_Quantidade_Dezembro!I35:I36)/1000</f>
        <v>1550.4549999999999</v>
      </c>
      <c r="K8" s="110">
        <f>SUM(RGPS_Quantidade_Dezembro!J35:J36)/1000</f>
        <v>1697.817</v>
      </c>
      <c r="L8" s="110">
        <f>SUM(RGPS_Quantidade_Dezembro!K35:K36)/1000</f>
        <v>1791.25</v>
      </c>
      <c r="M8" s="110">
        <f>SUM(RGPS_Quantidade_Dezembro!L35:L36)/1000</f>
        <v>1877.4079999999999</v>
      </c>
      <c r="N8" s="110">
        <f>SUM(RGPS_Quantidade_Dezembro!M35:M36)/1000</f>
        <v>2059.741</v>
      </c>
      <c r="O8" s="110">
        <f>SUM(RGPS_Quantidade_Dezembro!N35:N36)/1000</f>
        <v>2211.7860000000001</v>
      </c>
      <c r="P8" s="110">
        <v>2347.3870000000002</v>
      </c>
      <c r="Q8" s="112">
        <f>SUM(RGPS_Quantidade_Dezembro!O35:O36)/1000</f>
        <v>4264.0910000000003</v>
      </c>
      <c r="R8" s="112">
        <f>SUM(RGPS_Quantidade_Dezembro!P35:P36)/1000</f>
        <v>4378.1850000000004</v>
      </c>
      <c r="S8" s="112">
        <f>SUM(RGPS_Quantidade_Dezembro!Q35:Q36)/1000</f>
        <v>4496.0709999999999</v>
      </c>
      <c r="T8" s="112">
        <f>SUM(RGPS_Quantidade_Dezembro!R35:R36)/1000</f>
        <v>4626.2860000000001</v>
      </c>
      <c r="U8" s="112">
        <f>SUM(RGPS_Quantidade_Dezembro!S35:S36)/1000</f>
        <v>4773.8339999999998</v>
      </c>
      <c r="V8" s="112">
        <f>SUM(RGPS_Quantidade_Dezembro!T35:T36)/1000</f>
        <v>4928.9759999999997</v>
      </c>
      <c r="W8" s="112">
        <f>SUM(RGPS_Quantidade_Dezembro!U35:U36)/1000</f>
        <v>5106.5460000000003</v>
      </c>
      <c r="X8" s="112">
        <f>SUM(RGPS_Quantidade_Dezembro!V35:V36)/1000</f>
        <v>5300.9489999999996</v>
      </c>
      <c r="Y8" s="112">
        <f>SUM(RGPS_Quantidade_Dezembro!W35:W36)/1000</f>
        <v>5476.0050000000001</v>
      </c>
      <c r="Z8" s="112">
        <f>SUM(RGPS_Quantidade_Dezembro!X35:X36)/1000</f>
        <v>5631.9579999999996</v>
      </c>
      <c r="AA8" s="112">
        <f>SUM(RGPS_Quantidade_Dezembro!Y35:Y36)/1000</f>
        <v>5801.6040000000003</v>
      </c>
      <c r="AB8" s="112">
        <f>SUM(RGPS_Quantidade_Dezembro!Z35:Z36)/1000</f>
        <v>5972.2110000000002</v>
      </c>
      <c r="AC8" s="112">
        <v>6119.1959999999999</v>
      </c>
      <c r="AD8" s="109">
        <f>SUM(RGPS_Quantidade_Dezembro!AA35:AA36)/1000</f>
        <v>5186.4870000000001</v>
      </c>
      <c r="AE8" s="109">
        <f>SUM(RGPS_Quantidade_Dezembro!AB35:AB36)/1000</f>
        <v>5355.5429999999997</v>
      </c>
      <c r="AF8" s="109">
        <f>SUM(RGPS_Quantidade_Dezembro!AC35:AC36)/1000</f>
        <v>5600.4049999999997</v>
      </c>
      <c r="AG8" s="109">
        <f>SUM(RGPS_Quantidade_Dezembro!AD35:AD36)/1000</f>
        <v>5839.49</v>
      </c>
      <c r="AH8" s="109">
        <f>SUM(RGPS_Quantidade_Dezembro!AE35:AE36)/1000</f>
        <v>6109.7349999999997</v>
      </c>
      <c r="AI8" s="109">
        <f>SUM(RGPS_Quantidade_Dezembro!AF35:AF36)/1000</f>
        <v>6369.0010000000002</v>
      </c>
      <c r="AJ8" s="109">
        <f>SUM(RGPS_Quantidade_Dezembro!AG35:AG36)/1000</f>
        <v>6657.0010000000002</v>
      </c>
      <c r="AK8" s="109">
        <f>SUM(RGPS_Quantidade_Dezembro!AH35:AH36)/1000</f>
        <v>6998.7659999999996</v>
      </c>
      <c r="AL8" s="109">
        <f>SUM(RGPS_Quantidade_Dezembro!AI35:AI36)/1000</f>
        <v>7267.2550000000001</v>
      </c>
      <c r="AM8" s="109">
        <f>SUM(RGPS_Quantidade_Dezembro!AJ35:AJ36)/1000</f>
        <v>7509.366</v>
      </c>
      <c r="AN8" s="109">
        <f>SUM(RGPS_Quantidade_Dezembro!AK35:AK36)/1000</f>
        <v>7861.3450000000003</v>
      </c>
      <c r="AO8" s="109">
        <f>SUM(RGPS_Quantidade_Dezembro!AL35:AL36)/1000</f>
        <v>8183.9970000000003</v>
      </c>
      <c r="AP8" s="109">
        <f t="shared" si="0"/>
        <v>8466.5830000000005</v>
      </c>
    </row>
    <row r="9" spans="1:42">
      <c r="B9" s="106"/>
      <c r="C9" s="37" t="s">
        <v>40</v>
      </c>
      <c r="D9" s="110">
        <f>D7-D8</f>
        <v>730.07799999999997</v>
      </c>
      <c r="E9" s="110">
        <f t="shared" ref="E9:P9" si="4">E7-E8</f>
        <v>788.95900000000006</v>
      </c>
      <c r="F9" s="110">
        <f t="shared" si="4"/>
        <v>823.97699999999986</v>
      </c>
      <c r="G9" s="110">
        <f t="shared" si="4"/>
        <v>816.35400000000004</v>
      </c>
      <c r="H9" s="110">
        <f t="shared" si="4"/>
        <v>786.64699999999971</v>
      </c>
      <c r="I9" s="110">
        <f t="shared" si="4"/>
        <v>794.49699999999984</v>
      </c>
      <c r="J9" s="110">
        <f t="shared" si="4"/>
        <v>824.23300000000017</v>
      </c>
      <c r="K9" s="110">
        <f t="shared" si="4"/>
        <v>839.8119999999999</v>
      </c>
      <c r="L9" s="110">
        <f t="shared" si="4"/>
        <v>875.57499999999982</v>
      </c>
      <c r="M9" s="110">
        <f t="shared" si="4"/>
        <v>927.67500000000018</v>
      </c>
      <c r="N9" s="110">
        <f t="shared" si="4"/>
        <v>917.57999999999993</v>
      </c>
      <c r="O9" s="110">
        <f t="shared" si="4"/>
        <v>961.15000000000009</v>
      </c>
      <c r="P9" s="110">
        <f t="shared" si="4"/>
        <v>1020.8849999999998</v>
      </c>
      <c r="Q9" s="112">
        <f>Q7-Q8</f>
        <v>23.725999999999658</v>
      </c>
      <c r="R9" s="112">
        <f t="shared" ref="R9:AC9" si="5">R7-R8</f>
        <v>25.375999999999294</v>
      </c>
      <c r="S9" s="112">
        <f t="shared" si="5"/>
        <v>22.72400000000016</v>
      </c>
      <c r="T9" s="112">
        <f t="shared" si="5"/>
        <v>21.113999999999578</v>
      </c>
      <c r="U9" s="112">
        <f t="shared" si="5"/>
        <v>19.105000000000473</v>
      </c>
      <c r="V9" s="112">
        <f t="shared" si="5"/>
        <v>18.827000000000226</v>
      </c>
      <c r="W9" s="112">
        <f t="shared" si="5"/>
        <v>18.858000000000175</v>
      </c>
      <c r="X9" s="112">
        <f t="shared" si="5"/>
        <v>18.338000000000648</v>
      </c>
      <c r="Y9" s="112">
        <f t="shared" si="5"/>
        <v>18.903000000000247</v>
      </c>
      <c r="Z9" s="112">
        <f t="shared" si="5"/>
        <v>19.984000000000378</v>
      </c>
      <c r="AA9" s="112">
        <f t="shared" si="5"/>
        <v>19.175999999999476</v>
      </c>
      <c r="AB9" s="112">
        <f t="shared" si="5"/>
        <v>19.867000000000189</v>
      </c>
      <c r="AC9" s="112">
        <f t="shared" si="5"/>
        <v>21.226999999999862</v>
      </c>
      <c r="AD9" s="109">
        <f>AD7-AD8</f>
        <v>753.80400000000009</v>
      </c>
      <c r="AE9" s="109">
        <f t="shared" ref="AE9:AO9" si="6">AE7-AE8</f>
        <v>814.33500000000004</v>
      </c>
      <c r="AF9" s="109">
        <f t="shared" si="6"/>
        <v>846.70100000000002</v>
      </c>
      <c r="AG9" s="109">
        <f t="shared" si="6"/>
        <v>837.46799999999985</v>
      </c>
      <c r="AH9" s="109">
        <f t="shared" si="6"/>
        <v>805.75200000000041</v>
      </c>
      <c r="AI9" s="109">
        <f t="shared" si="6"/>
        <v>813.32399999999961</v>
      </c>
      <c r="AJ9" s="109">
        <f t="shared" si="6"/>
        <v>843.09099999999944</v>
      </c>
      <c r="AK9" s="109">
        <f t="shared" si="6"/>
        <v>858.15000000000055</v>
      </c>
      <c r="AL9" s="109">
        <f t="shared" si="6"/>
        <v>894.47800000000007</v>
      </c>
      <c r="AM9" s="109">
        <f t="shared" si="6"/>
        <v>947.65899999999965</v>
      </c>
      <c r="AN9" s="109">
        <f t="shared" si="6"/>
        <v>936.75600000000031</v>
      </c>
      <c r="AO9" s="109">
        <f t="shared" si="6"/>
        <v>981.01699999999892</v>
      </c>
      <c r="AP9" s="109">
        <f t="shared" si="0"/>
        <v>1042.1119999999996</v>
      </c>
    </row>
    <row r="10" spans="1:42">
      <c r="B10" s="106" t="s">
        <v>23</v>
      </c>
      <c r="C10" s="105" t="s">
        <v>3</v>
      </c>
      <c r="D10" s="110">
        <f>SUM(RGPS_Quantidade_Dezembro!C48,RGPS_Quantidade_Dezembro!C183)/1000</f>
        <v>2045.8910000000001</v>
      </c>
      <c r="E10" s="110">
        <f>SUM(RGPS_Quantidade_Dezembro!D48,RGPS_Quantidade_Dezembro!D183)/1000</f>
        <v>2117.1489999999999</v>
      </c>
      <c r="F10" s="110">
        <f>SUM(RGPS_Quantidade_Dezembro!E48,RGPS_Quantidade_Dezembro!E183)/1000</f>
        <v>2224.75</v>
      </c>
      <c r="G10" s="110">
        <f>SUM(RGPS_Quantidade_Dezembro!F48,RGPS_Quantidade_Dezembro!F183)/1000</f>
        <v>2370.2289999999998</v>
      </c>
      <c r="H10" s="110">
        <f>SUM(RGPS_Quantidade_Dezembro!G48,RGPS_Quantidade_Dezembro!G183)/1000</f>
        <v>2439.3649999999998</v>
      </c>
      <c r="I10" s="110">
        <f>SUM(RGPS_Quantidade_Dezembro!H48,RGPS_Quantidade_Dezembro!H183)/1000</f>
        <v>2462.1410000000001</v>
      </c>
      <c r="J10" s="110">
        <f>SUM(RGPS_Quantidade_Dezembro!I48,RGPS_Quantidade_Dezembro!I183)/1000</f>
        <v>2547.8359999999998</v>
      </c>
      <c r="K10" s="110">
        <f>SUM(RGPS_Quantidade_Dezembro!J48,RGPS_Quantidade_Dezembro!J183)/1000</f>
        <v>2620.491</v>
      </c>
      <c r="L10" s="110">
        <f>SUM(RGPS_Quantidade_Dezembro!K48,RGPS_Quantidade_Dezembro!K183)/1000</f>
        <v>2679.7220000000002</v>
      </c>
      <c r="M10" s="110">
        <f>SUM(RGPS_Quantidade_Dezembro!L48,RGPS_Quantidade_Dezembro!L183)/1000</f>
        <v>2736.3670000000002</v>
      </c>
      <c r="N10" s="110">
        <f>SUM(RGPS_Quantidade_Dezembro!M48,RGPS_Quantidade_Dezembro!M183)/1000</f>
        <v>2796.2739999999999</v>
      </c>
      <c r="O10" s="110">
        <f>SUM(RGPS_Quantidade_Dezembro!N48,RGPS_Quantidade_Dezembro!N183)/1000</f>
        <v>2854.8449999999998</v>
      </c>
      <c r="P10" s="110">
        <v>2908.9070000000002</v>
      </c>
      <c r="Q10" s="112">
        <f>SUM(RGPS_Quantidade_Dezembro!O48,RGPS_Quantidade_Dezembro!O183)/1000</f>
        <v>424.78300000000002</v>
      </c>
      <c r="R10" s="112">
        <f>SUM(RGPS_Quantidade_Dezembro!P48,RGPS_Quantidade_Dezembro!P183)/1000</f>
        <v>429.74299999999999</v>
      </c>
      <c r="S10" s="112">
        <f>SUM(RGPS_Quantidade_Dezembro!Q48,RGPS_Quantidade_Dezembro!Q183)/1000</f>
        <v>434.55399999999997</v>
      </c>
      <c r="T10" s="112">
        <f>SUM(RGPS_Quantidade_Dezembro!R48,RGPS_Quantidade_Dezembro!R183)/1000</f>
        <v>447.06799999999998</v>
      </c>
      <c r="U10" s="112">
        <f>SUM(RGPS_Quantidade_Dezembro!S48,RGPS_Quantidade_Dezembro!S183)/1000</f>
        <v>447.25900000000001</v>
      </c>
      <c r="V10" s="112">
        <f>SUM(RGPS_Quantidade_Dezembro!T48,RGPS_Quantidade_Dezembro!T183)/1000</f>
        <v>439.64299999999997</v>
      </c>
      <c r="W10" s="112">
        <f>SUM(RGPS_Quantidade_Dezembro!U48,RGPS_Quantidade_Dezembro!U183)/1000</f>
        <v>440.815</v>
      </c>
      <c r="X10" s="112">
        <f>SUM(RGPS_Quantidade_Dezembro!V48,RGPS_Quantidade_Dezembro!V183)/1000</f>
        <v>441.875</v>
      </c>
      <c r="Y10" s="112">
        <f>SUM(RGPS_Quantidade_Dezembro!W48,RGPS_Quantidade_Dezembro!W183)/1000</f>
        <v>444.45</v>
      </c>
      <c r="Z10" s="112">
        <f>SUM(RGPS_Quantidade_Dezembro!X48,RGPS_Quantidade_Dezembro!X183)/1000</f>
        <v>447.02699999999999</v>
      </c>
      <c r="AA10" s="112">
        <f>SUM(RGPS_Quantidade_Dezembro!Y48,RGPS_Quantidade_Dezembro!Y183)/1000</f>
        <v>450.93599999999998</v>
      </c>
      <c r="AB10" s="112">
        <f>SUM(RGPS_Quantidade_Dezembro!Z48,RGPS_Quantidade_Dezembro!Z183)/1000</f>
        <v>456.69</v>
      </c>
      <c r="AC10" s="112">
        <v>464.06700000000001</v>
      </c>
      <c r="AD10" s="109">
        <f>SUM(RGPS_Quantidade_Dezembro!AA48,RGPS_Quantidade_Dezembro!AA183)/1000</f>
        <v>2470.674</v>
      </c>
      <c r="AE10" s="109">
        <f>SUM(RGPS_Quantidade_Dezembro!AB48,RGPS_Quantidade_Dezembro!AB183)/1000</f>
        <v>2546.8919999999998</v>
      </c>
      <c r="AF10" s="109">
        <f>SUM(RGPS_Quantidade_Dezembro!AC48,RGPS_Quantidade_Dezembro!AC183)/1000</f>
        <v>2659.3040000000001</v>
      </c>
      <c r="AG10" s="109">
        <f>SUM(RGPS_Quantidade_Dezembro!AD48,RGPS_Quantidade_Dezembro!AD183)/1000</f>
        <v>2817.297</v>
      </c>
      <c r="AH10" s="109">
        <f>SUM(RGPS_Quantidade_Dezembro!AE48,RGPS_Quantidade_Dezembro!AE183)/1000</f>
        <v>2886.6239999999998</v>
      </c>
      <c r="AI10" s="109">
        <f>SUM(RGPS_Quantidade_Dezembro!AF48,RGPS_Quantidade_Dezembro!AF183)/1000</f>
        <v>2901.7840000000001</v>
      </c>
      <c r="AJ10" s="109">
        <f>SUM(RGPS_Quantidade_Dezembro!AG48,RGPS_Quantidade_Dezembro!AG183)/1000</f>
        <v>2988.6509999999998</v>
      </c>
      <c r="AK10" s="109">
        <f>SUM(RGPS_Quantidade_Dezembro!AH48,RGPS_Quantidade_Dezembro!AH183)/1000</f>
        <v>3062.366</v>
      </c>
      <c r="AL10" s="109">
        <f>SUM(RGPS_Quantidade_Dezembro!AI48,RGPS_Quantidade_Dezembro!AI183)/1000</f>
        <v>3124.172</v>
      </c>
      <c r="AM10" s="109">
        <f>SUM(RGPS_Quantidade_Dezembro!AJ48,RGPS_Quantidade_Dezembro!AJ183)/1000</f>
        <v>3183.3939999999998</v>
      </c>
      <c r="AN10" s="109">
        <f>SUM(RGPS_Quantidade_Dezembro!AK48,RGPS_Quantidade_Dezembro!AK183)/1000</f>
        <v>3247.21</v>
      </c>
      <c r="AO10" s="109">
        <f>SUM(RGPS_Quantidade_Dezembro!AL48,RGPS_Quantidade_Dezembro!AL183)/1000</f>
        <v>3311.5349999999999</v>
      </c>
      <c r="AP10" s="109">
        <f t="shared" si="0"/>
        <v>3372.9740000000002</v>
      </c>
    </row>
    <row r="11" spans="1:42">
      <c r="B11" s="106"/>
      <c r="C11" s="37" t="s">
        <v>22</v>
      </c>
      <c r="D11" s="110">
        <f>SUM(RGPS_Quantidade_Dezembro!C49:C50,RGPS_Quantidade_Dezembro!C184:C185)/1000</f>
        <v>1310.8820000000001</v>
      </c>
      <c r="E11" s="110">
        <f>SUM(RGPS_Quantidade_Dezembro!D49:D50,RGPS_Quantidade_Dezembro!D184:D185)/1000</f>
        <v>1279.4359999999999</v>
      </c>
      <c r="F11" s="110">
        <f>SUM(RGPS_Quantidade_Dezembro!E49:E50,RGPS_Quantidade_Dezembro!E184:E185)/1000</f>
        <v>1290.836</v>
      </c>
      <c r="G11" s="110">
        <f>SUM(RGPS_Quantidade_Dezembro!F49:F50,RGPS_Quantidade_Dezembro!F184:F185)/1000</f>
        <v>1371.3820000000001</v>
      </c>
      <c r="H11" s="110">
        <f>SUM(RGPS_Quantidade_Dezembro!G49:G50,RGPS_Quantidade_Dezembro!G184:G185)/1000</f>
        <v>1436.211</v>
      </c>
      <c r="I11" s="110">
        <f>SUM(RGPS_Quantidade_Dezembro!H49:H50,RGPS_Quantidade_Dezembro!H184:H185)/1000</f>
        <v>1464.691</v>
      </c>
      <c r="J11" s="110">
        <f>SUM(RGPS_Quantidade_Dezembro!I49:I50,RGPS_Quantidade_Dezembro!I184:I185)/1000</f>
        <v>1492.9059999999999</v>
      </c>
      <c r="K11" s="110">
        <f>SUM(RGPS_Quantidade_Dezembro!J49:J50,RGPS_Quantidade_Dezembro!J184:J185)/1000</f>
        <v>1532.5809999999999</v>
      </c>
      <c r="L11" s="110">
        <f>SUM(RGPS_Quantidade_Dezembro!K49:K50,RGPS_Quantidade_Dezembro!K184:K185)/1000</f>
        <v>1523.9059999999999</v>
      </c>
      <c r="M11" s="110">
        <f>SUM(RGPS_Quantidade_Dezembro!L49:L50,RGPS_Quantidade_Dezembro!L184:L185)/1000</f>
        <v>1514.9659999999999</v>
      </c>
      <c r="N11" s="110">
        <f>SUM(RGPS_Quantidade_Dezembro!M49:M50,RGPS_Quantidade_Dezembro!M184:M185)/1000</f>
        <v>1593.4090000000001</v>
      </c>
      <c r="O11" s="110">
        <f>SUM(RGPS_Quantidade_Dezembro!N49:N50,RGPS_Quantidade_Dezembro!N184:N185)/1000</f>
        <v>1591.547</v>
      </c>
      <c r="P11" s="110">
        <v>1597.2149999999999</v>
      </c>
      <c r="Q11" s="112">
        <f>SUM(RGPS_Quantidade_Dezembro!O49:O50,RGPS_Quantidade_Dezembro!O184:O185)/1000</f>
        <v>406.4</v>
      </c>
      <c r="R11" s="112">
        <f>SUM(RGPS_Quantidade_Dezembro!P49:P50,RGPS_Quantidade_Dezembro!P184:P185)/1000</f>
        <v>408.37</v>
      </c>
      <c r="S11" s="112">
        <f>SUM(RGPS_Quantidade_Dezembro!Q49:Q50,RGPS_Quantidade_Dezembro!Q184:Q185)/1000</f>
        <v>412.61799999999999</v>
      </c>
      <c r="T11" s="112">
        <f>SUM(RGPS_Quantidade_Dezembro!R49:R50,RGPS_Quantidade_Dezembro!R184:R185)/1000</f>
        <v>426.80099999999999</v>
      </c>
      <c r="U11" s="112">
        <f>SUM(RGPS_Quantidade_Dezembro!S49:S50,RGPS_Quantidade_Dezembro!S184:S185)/1000</f>
        <v>430.49599999999998</v>
      </c>
      <c r="V11" s="112">
        <f>SUM(RGPS_Quantidade_Dezembro!T49:T50,RGPS_Quantidade_Dezembro!T184:T185)/1000</f>
        <v>424.57799999999997</v>
      </c>
      <c r="W11" s="112">
        <f>SUM(RGPS_Quantidade_Dezembro!U49:U50,RGPS_Quantidade_Dezembro!U184:U185)/1000</f>
        <v>427.04199999999997</v>
      </c>
      <c r="X11" s="112">
        <f>SUM(RGPS_Quantidade_Dezembro!V49:V50,RGPS_Quantidade_Dezembro!V184:V185)/1000</f>
        <v>429.69099999999997</v>
      </c>
      <c r="Y11" s="112">
        <f>SUM(RGPS_Quantidade_Dezembro!W49:W50,RGPS_Quantidade_Dezembro!W184:W185)/1000</f>
        <v>432.83600000000001</v>
      </c>
      <c r="Z11" s="112">
        <f>SUM(RGPS_Quantidade_Dezembro!X49:X50,RGPS_Quantidade_Dezembro!X184:X185)/1000</f>
        <v>435.72199999999998</v>
      </c>
      <c r="AA11" s="112">
        <f>SUM(RGPS_Quantidade_Dezembro!Y49:Y50,RGPS_Quantidade_Dezembro!Y184:Y185)/1000</f>
        <v>441.29700000000003</v>
      </c>
      <c r="AB11" s="112">
        <f>SUM(RGPS_Quantidade_Dezembro!Z49:Z50,RGPS_Quantidade_Dezembro!Z184:Z185)/1000</f>
        <v>447.512</v>
      </c>
      <c r="AC11" s="112">
        <v>455.19499999999999</v>
      </c>
      <c r="AD11" s="109">
        <f>SUM(RGPS_Quantidade_Dezembro!AA49:AA50,RGPS_Quantidade_Dezembro!AA184:AA185)/1000</f>
        <v>1717.2819999999999</v>
      </c>
      <c r="AE11" s="109">
        <f>SUM(RGPS_Quantidade_Dezembro!AB49:AB50,RGPS_Quantidade_Dezembro!AB184:AB185)/1000</f>
        <v>1687.806</v>
      </c>
      <c r="AF11" s="109">
        <f>SUM(RGPS_Quantidade_Dezembro!AC49:AC50,RGPS_Quantidade_Dezembro!AC184:AC185)/1000</f>
        <v>1703.454</v>
      </c>
      <c r="AG11" s="109">
        <f>SUM(RGPS_Quantidade_Dezembro!AD49:AD50,RGPS_Quantidade_Dezembro!AD184:AD185)/1000</f>
        <v>1798.183</v>
      </c>
      <c r="AH11" s="109">
        <f>SUM(RGPS_Quantidade_Dezembro!AE49:AE50,RGPS_Quantidade_Dezembro!AE184:AE185)/1000</f>
        <v>1866.7070000000001</v>
      </c>
      <c r="AI11" s="109">
        <f>SUM(RGPS_Quantidade_Dezembro!AF49:AF50,RGPS_Quantidade_Dezembro!AF184:AF185)/1000</f>
        <v>1889.269</v>
      </c>
      <c r="AJ11" s="109">
        <f>SUM(RGPS_Quantidade_Dezembro!AG49:AG50,RGPS_Quantidade_Dezembro!AG184:AG185)/1000</f>
        <v>1919.9480000000001</v>
      </c>
      <c r="AK11" s="109">
        <f>SUM(RGPS_Quantidade_Dezembro!AH49:AH50,RGPS_Quantidade_Dezembro!AH184:AH185)/1000</f>
        <v>1962.2719999999999</v>
      </c>
      <c r="AL11" s="109">
        <f>SUM(RGPS_Quantidade_Dezembro!AI49:AI50,RGPS_Quantidade_Dezembro!AI184:AI185)/1000</f>
        <v>1956.742</v>
      </c>
      <c r="AM11" s="109">
        <f>SUM(RGPS_Quantidade_Dezembro!AJ49:AJ50,RGPS_Quantidade_Dezembro!AJ184:AJ185)/1000</f>
        <v>1950.6880000000001</v>
      </c>
      <c r="AN11" s="109">
        <f>SUM(RGPS_Quantidade_Dezembro!AK49:AK50,RGPS_Quantidade_Dezembro!AK184:AK185)/1000</f>
        <v>2034.7059999999999</v>
      </c>
      <c r="AO11" s="109">
        <f>SUM(RGPS_Quantidade_Dezembro!AL49:AL50,RGPS_Quantidade_Dezembro!AL184:AL185)/1000</f>
        <v>2039.059</v>
      </c>
      <c r="AP11" s="109">
        <f t="shared" si="0"/>
        <v>2052.41</v>
      </c>
    </row>
    <row r="12" spans="1:42">
      <c r="B12" s="106"/>
      <c r="C12" s="37" t="s">
        <v>40</v>
      </c>
      <c r="D12" s="110">
        <f>D10-D11</f>
        <v>735.00900000000001</v>
      </c>
      <c r="E12" s="110">
        <f t="shared" ref="E12:P12" si="7">E10-E11</f>
        <v>837.71299999999997</v>
      </c>
      <c r="F12" s="110">
        <f t="shared" si="7"/>
        <v>933.91399999999999</v>
      </c>
      <c r="G12" s="110">
        <f t="shared" si="7"/>
        <v>998.84699999999975</v>
      </c>
      <c r="H12" s="110">
        <f t="shared" si="7"/>
        <v>1003.1539999999998</v>
      </c>
      <c r="I12" s="110">
        <f t="shared" si="7"/>
        <v>997.45</v>
      </c>
      <c r="J12" s="110">
        <f t="shared" si="7"/>
        <v>1054.9299999999998</v>
      </c>
      <c r="K12" s="110">
        <f t="shared" si="7"/>
        <v>1087.9100000000001</v>
      </c>
      <c r="L12" s="110">
        <f t="shared" si="7"/>
        <v>1155.8160000000003</v>
      </c>
      <c r="M12" s="110">
        <f t="shared" si="7"/>
        <v>1221.4010000000003</v>
      </c>
      <c r="N12" s="110">
        <f t="shared" si="7"/>
        <v>1202.8649999999998</v>
      </c>
      <c r="O12" s="110">
        <f t="shared" si="7"/>
        <v>1263.2979999999998</v>
      </c>
      <c r="P12" s="110">
        <f t="shared" si="7"/>
        <v>1311.6920000000002</v>
      </c>
      <c r="Q12" s="112">
        <f>Q10-Q11</f>
        <v>18.383000000000038</v>
      </c>
      <c r="R12" s="112">
        <f t="shared" ref="R12:AC12" si="8">R10-R11</f>
        <v>21.37299999999999</v>
      </c>
      <c r="S12" s="112">
        <f t="shared" si="8"/>
        <v>21.935999999999979</v>
      </c>
      <c r="T12" s="112">
        <f t="shared" si="8"/>
        <v>20.266999999999996</v>
      </c>
      <c r="U12" s="112">
        <f t="shared" si="8"/>
        <v>16.763000000000034</v>
      </c>
      <c r="V12" s="112">
        <f t="shared" si="8"/>
        <v>15.064999999999998</v>
      </c>
      <c r="W12" s="112">
        <f t="shared" si="8"/>
        <v>13.773000000000025</v>
      </c>
      <c r="X12" s="112">
        <f t="shared" si="8"/>
        <v>12.184000000000026</v>
      </c>
      <c r="Y12" s="112">
        <f t="shared" si="8"/>
        <v>11.613999999999976</v>
      </c>
      <c r="Z12" s="112">
        <f t="shared" si="8"/>
        <v>11.305000000000007</v>
      </c>
      <c r="AA12" s="112">
        <f t="shared" si="8"/>
        <v>9.6389999999999532</v>
      </c>
      <c r="AB12" s="112">
        <f t="shared" si="8"/>
        <v>9.1779999999999973</v>
      </c>
      <c r="AC12" s="112">
        <f t="shared" si="8"/>
        <v>8.8720000000000141</v>
      </c>
      <c r="AD12" s="109">
        <f>AD10-AD11</f>
        <v>753.39200000000005</v>
      </c>
      <c r="AE12" s="109">
        <f t="shared" ref="AE12:AO12" si="9">AE10-AE11</f>
        <v>859.08599999999979</v>
      </c>
      <c r="AF12" s="109">
        <f t="shared" si="9"/>
        <v>955.85000000000014</v>
      </c>
      <c r="AG12" s="109">
        <f t="shared" si="9"/>
        <v>1019.114</v>
      </c>
      <c r="AH12" s="109">
        <f t="shared" si="9"/>
        <v>1019.9169999999997</v>
      </c>
      <c r="AI12" s="109">
        <f t="shared" si="9"/>
        <v>1012.5150000000001</v>
      </c>
      <c r="AJ12" s="109">
        <f t="shared" si="9"/>
        <v>1068.7029999999997</v>
      </c>
      <c r="AK12" s="109">
        <f t="shared" si="9"/>
        <v>1100.0940000000001</v>
      </c>
      <c r="AL12" s="109">
        <f t="shared" si="9"/>
        <v>1167.43</v>
      </c>
      <c r="AM12" s="109">
        <f t="shared" si="9"/>
        <v>1232.7059999999997</v>
      </c>
      <c r="AN12" s="109">
        <f t="shared" si="9"/>
        <v>1212.5040000000001</v>
      </c>
      <c r="AO12" s="109">
        <f t="shared" si="9"/>
        <v>1272.4759999999999</v>
      </c>
      <c r="AP12" s="109">
        <f t="shared" si="0"/>
        <v>1320.5640000000003</v>
      </c>
    </row>
    <row r="13" spans="1:42">
      <c r="B13" s="106" t="s">
        <v>24</v>
      </c>
      <c r="C13" s="105" t="s">
        <v>3</v>
      </c>
      <c r="D13" s="110">
        <f>SUM(RGPS_Quantidade_Dezembro!C62,RGPS_Quantidade_Dezembro!C197)/1000</f>
        <v>3785.0880000000002</v>
      </c>
      <c r="E13" s="110">
        <f>SUM(RGPS_Quantidade_Dezembro!D62,RGPS_Quantidade_Dezembro!D197)/1000</f>
        <v>3854.8609999999999</v>
      </c>
      <c r="F13" s="110">
        <f>SUM(RGPS_Quantidade_Dezembro!E62,RGPS_Quantidade_Dezembro!E197)/1000</f>
        <v>4002.35</v>
      </c>
      <c r="G13" s="110">
        <f>SUM(RGPS_Quantidade_Dezembro!F62,RGPS_Quantidade_Dezembro!F197)/1000</f>
        <v>4070.7739999999999</v>
      </c>
      <c r="H13" s="110">
        <f>SUM(RGPS_Quantidade_Dezembro!G62,RGPS_Quantidade_Dezembro!G197)/1000</f>
        <v>4162.1970000000001</v>
      </c>
      <c r="I13" s="110">
        <f>SUM(RGPS_Quantidade_Dezembro!H62,RGPS_Quantidade_Dezembro!H197)/1000</f>
        <v>4278.0119999999997</v>
      </c>
      <c r="J13" s="110">
        <f>SUM(RGPS_Quantidade_Dezembro!I62,RGPS_Quantidade_Dezembro!I197)/1000</f>
        <v>4402.2730000000001</v>
      </c>
      <c r="K13" s="110">
        <f>SUM(RGPS_Quantidade_Dezembro!J62,RGPS_Quantidade_Dezembro!J197)/1000</f>
        <v>4528.2030000000004</v>
      </c>
      <c r="L13" s="110">
        <f>SUM(RGPS_Quantidade_Dezembro!K62,RGPS_Quantidade_Dezembro!K197)/1000</f>
        <v>4648.3419999999996</v>
      </c>
      <c r="M13" s="110">
        <f>SUM(RGPS_Quantidade_Dezembro!L62,RGPS_Quantidade_Dezembro!L197)/1000</f>
        <v>4763.8140000000003</v>
      </c>
      <c r="N13" s="110">
        <f>SUM(RGPS_Quantidade_Dezembro!M62,RGPS_Quantidade_Dezembro!M197)/1000</f>
        <v>4889.4229999999998</v>
      </c>
      <c r="O13" s="110">
        <f>SUM(RGPS_Quantidade_Dezembro!N62,RGPS_Quantidade_Dezembro!N197)/1000</f>
        <v>5017.7269999999999</v>
      </c>
      <c r="P13" s="110">
        <v>5128.7039999999997</v>
      </c>
      <c r="Q13" s="112">
        <f>SUM(RGPS_Quantidade_Dezembro!O62,RGPS_Quantidade_Dezembro!O197)/1000</f>
        <v>1700.712</v>
      </c>
      <c r="R13" s="112">
        <f>SUM(RGPS_Quantidade_Dezembro!P62,RGPS_Quantidade_Dezembro!P197)/1000</f>
        <v>1746.5820000000001</v>
      </c>
      <c r="S13" s="112">
        <f>SUM(RGPS_Quantidade_Dezembro!Q62,RGPS_Quantidade_Dezembro!Q197)/1000</f>
        <v>1795.797</v>
      </c>
      <c r="T13" s="112">
        <f>SUM(RGPS_Quantidade_Dezembro!R62,RGPS_Quantidade_Dezembro!R197)/1000</f>
        <v>1842.6510000000001</v>
      </c>
      <c r="U13" s="112">
        <f>SUM(RGPS_Quantidade_Dezembro!S62,RGPS_Quantidade_Dezembro!S197)/1000</f>
        <v>1887.807</v>
      </c>
      <c r="V13" s="112">
        <f>SUM(RGPS_Quantidade_Dezembro!T62,RGPS_Quantidade_Dezembro!T197)/1000</f>
        <v>1941.2439999999999</v>
      </c>
      <c r="W13" s="112">
        <f>SUM(RGPS_Quantidade_Dezembro!U62,RGPS_Quantidade_Dezembro!U197)/1000</f>
        <v>2000.3879999999999</v>
      </c>
      <c r="X13" s="112">
        <f>SUM(RGPS_Quantidade_Dezembro!V62,RGPS_Quantidade_Dezembro!V197)/1000</f>
        <v>2056.3829999999998</v>
      </c>
      <c r="Y13" s="112">
        <f>SUM(RGPS_Quantidade_Dezembro!W62,RGPS_Quantidade_Dezembro!W197)/1000</f>
        <v>2108.1129999999998</v>
      </c>
      <c r="Z13" s="112">
        <f>SUM(RGPS_Quantidade_Dezembro!X62,RGPS_Quantidade_Dezembro!X197)/1000</f>
        <v>2157.3200000000002</v>
      </c>
      <c r="AA13" s="112">
        <f>SUM(RGPS_Quantidade_Dezembro!Y62,RGPS_Quantidade_Dezembro!Y197)/1000</f>
        <v>2209.1709999999998</v>
      </c>
      <c r="AB13" s="112">
        <f>SUM(RGPS_Quantidade_Dezembro!Z62,RGPS_Quantidade_Dezembro!Z197)/1000</f>
        <v>2262.1210000000001</v>
      </c>
      <c r="AC13" s="112">
        <v>2306.373</v>
      </c>
      <c r="AD13" s="109">
        <f>SUM(RGPS_Quantidade_Dezembro!AA62,RGPS_Quantidade_Dezembro!AA197)/1000</f>
        <v>5485.8</v>
      </c>
      <c r="AE13" s="109">
        <f>SUM(RGPS_Quantidade_Dezembro!AB62,RGPS_Quantidade_Dezembro!AB197)/1000</f>
        <v>5601.4430000000002</v>
      </c>
      <c r="AF13" s="109">
        <f>SUM(RGPS_Quantidade_Dezembro!AC62,RGPS_Quantidade_Dezembro!AC197)/1000</f>
        <v>5798.1469999999999</v>
      </c>
      <c r="AG13" s="109">
        <f>SUM(RGPS_Quantidade_Dezembro!AD62,RGPS_Quantidade_Dezembro!AD197)/1000</f>
        <v>5913.4250000000002</v>
      </c>
      <c r="AH13" s="109">
        <f>SUM(RGPS_Quantidade_Dezembro!AE62,RGPS_Quantidade_Dezembro!AE197)/1000</f>
        <v>6050.0039999999999</v>
      </c>
      <c r="AI13" s="109">
        <f>SUM(RGPS_Quantidade_Dezembro!AF62,RGPS_Quantidade_Dezembro!AF197)/1000</f>
        <v>6219.2560000000003</v>
      </c>
      <c r="AJ13" s="109">
        <f>SUM(RGPS_Quantidade_Dezembro!AG62,RGPS_Quantidade_Dezembro!AG197)/1000</f>
        <v>6402.6610000000001</v>
      </c>
      <c r="AK13" s="109">
        <f>SUM(RGPS_Quantidade_Dezembro!AH62,RGPS_Quantidade_Dezembro!AH197)/1000</f>
        <v>6584.5860000000002</v>
      </c>
      <c r="AL13" s="109">
        <f>SUM(RGPS_Quantidade_Dezembro!AI62,RGPS_Quantidade_Dezembro!AI197)/1000</f>
        <v>6756.4549999999999</v>
      </c>
      <c r="AM13" s="109">
        <f>SUM(RGPS_Quantidade_Dezembro!AJ62,RGPS_Quantidade_Dezembro!AJ197)/1000</f>
        <v>6921.134</v>
      </c>
      <c r="AN13" s="109">
        <f>SUM(RGPS_Quantidade_Dezembro!AK62,RGPS_Quantidade_Dezembro!AK197)/1000</f>
        <v>7098.5940000000001</v>
      </c>
      <c r="AO13" s="109">
        <f>SUM(RGPS_Quantidade_Dezembro!AL62,RGPS_Quantidade_Dezembro!AL197)/1000</f>
        <v>7279.848</v>
      </c>
      <c r="AP13" s="109">
        <f t="shared" si="0"/>
        <v>7435.0769999999993</v>
      </c>
    </row>
    <row r="14" spans="1:42">
      <c r="B14" s="106"/>
      <c r="C14" s="37" t="s">
        <v>22</v>
      </c>
      <c r="D14" s="110">
        <f>SUM(RGPS_Quantidade_Dezembro!C63:C64,RGPS_Quantidade_Dezembro!C198:C199)/1000</f>
        <v>2138.2710000000002</v>
      </c>
      <c r="E14" s="110">
        <f>SUM(RGPS_Quantidade_Dezembro!D63:D64,RGPS_Quantidade_Dezembro!D198:D199)/1000</f>
        <v>2121.8589999999999</v>
      </c>
      <c r="F14" s="110">
        <f>SUM(RGPS_Quantidade_Dezembro!E63:E64,RGPS_Quantidade_Dezembro!E198:E199)/1000</f>
        <v>2150.5970000000002</v>
      </c>
      <c r="G14" s="110">
        <f>SUM(RGPS_Quantidade_Dezembro!F63:F64,RGPS_Quantidade_Dezembro!F198:F199)/1000</f>
        <v>2253.3020000000001</v>
      </c>
      <c r="H14" s="110">
        <f>SUM(RGPS_Quantidade_Dezembro!G63:G64,RGPS_Quantidade_Dezembro!G198:G199)/1000</f>
        <v>2354.203</v>
      </c>
      <c r="I14" s="110">
        <f>SUM(RGPS_Quantidade_Dezembro!H63:H64,RGPS_Quantidade_Dezembro!H198:H199)/1000</f>
        <v>2441.46</v>
      </c>
      <c r="J14" s="110">
        <f>SUM(RGPS_Quantidade_Dezembro!I63:I64,RGPS_Quantidade_Dezembro!I198:I199)/1000</f>
        <v>2503.36</v>
      </c>
      <c r="K14" s="110">
        <f>SUM(RGPS_Quantidade_Dezembro!J63:J64,RGPS_Quantidade_Dezembro!J198:J199)/1000</f>
        <v>2588.5639999999999</v>
      </c>
      <c r="L14" s="110">
        <f>SUM(RGPS_Quantidade_Dezembro!K63:K64,RGPS_Quantidade_Dezembro!K198:K199)/1000</f>
        <v>2596.5059999999999</v>
      </c>
      <c r="M14" s="110">
        <f>SUM(RGPS_Quantidade_Dezembro!L63:L64,RGPS_Quantidade_Dezembro!L198:L199)/1000</f>
        <v>2603.232</v>
      </c>
      <c r="N14" s="110">
        <f>SUM(RGPS_Quantidade_Dezembro!M63:M64,RGPS_Quantidade_Dezembro!M198:M199)/1000</f>
        <v>2756.8490000000002</v>
      </c>
      <c r="O14" s="110">
        <f>SUM(RGPS_Quantidade_Dezembro!N63:N64,RGPS_Quantidade_Dezembro!N198:N199)/1000</f>
        <v>2790.395</v>
      </c>
      <c r="P14" s="110">
        <v>2811.98</v>
      </c>
      <c r="Q14" s="112">
        <f>SUM(RGPS_Quantidade_Dezembro!O63:O64,RGPS_Quantidade_Dezembro!O198:O199)/1000</f>
        <v>1672.7</v>
      </c>
      <c r="R14" s="112">
        <f>SUM(RGPS_Quantidade_Dezembro!P63:P64,RGPS_Quantidade_Dezembro!P198:P199)/1000</f>
        <v>1715.2449999999999</v>
      </c>
      <c r="S14" s="112">
        <f>SUM(RGPS_Quantidade_Dezembro!Q63:Q64,RGPS_Quantidade_Dezembro!Q198:Q199)/1000</f>
        <v>1764.09</v>
      </c>
      <c r="T14" s="112">
        <f>SUM(RGPS_Quantidade_Dezembro!R63:R64,RGPS_Quantidade_Dezembro!R198:R199)/1000</f>
        <v>1815.713</v>
      </c>
      <c r="U14" s="112">
        <f>SUM(RGPS_Quantidade_Dezembro!S63:S64,RGPS_Quantidade_Dezembro!S198:S199)/1000</f>
        <v>1864.298</v>
      </c>
      <c r="V14" s="112">
        <f>SUM(RGPS_Quantidade_Dezembro!T63:T64,RGPS_Quantidade_Dezembro!T198:T199)/1000</f>
        <v>1919.299</v>
      </c>
      <c r="W14" s="112">
        <f>SUM(RGPS_Quantidade_Dezembro!U63:U64,RGPS_Quantidade_Dezembro!U198:U199)/1000</f>
        <v>1978.7529999999999</v>
      </c>
      <c r="X14" s="112">
        <f>SUM(RGPS_Quantidade_Dezembro!V63:V64,RGPS_Quantidade_Dezembro!V198:V199)/1000</f>
        <v>2035.7539999999999</v>
      </c>
      <c r="Y14" s="112">
        <f>SUM(RGPS_Quantidade_Dezembro!W63:W64,RGPS_Quantidade_Dezembro!W198:W199)/1000</f>
        <v>2086.2950000000001</v>
      </c>
      <c r="Z14" s="112">
        <f>SUM(RGPS_Quantidade_Dezembro!X63:X64,RGPS_Quantidade_Dezembro!X198:X199)/1000</f>
        <v>2134.8939999999998</v>
      </c>
      <c r="AA14" s="112">
        <f>SUM(RGPS_Quantidade_Dezembro!Y63:Y64,RGPS_Quantidade_Dezembro!Y198:Y199)/1000</f>
        <v>2189.7939999999999</v>
      </c>
      <c r="AB14" s="112">
        <f>SUM(RGPS_Quantidade_Dezembro!Z63:Z64,RGPS_Quantidade_Dezembro!Z198:Z199)/1000</f>
        <v>2242.424</v>
      </c>
      <c r="AC14" s="112">
        <v>2286.5230000000001</v>
      </c>
      <c r="AD14" s="109">
        <f>SUM(RGPS_Quantidade_Dezembro!AA63:AA64,RGPS_Quantidade_Dezembro!AA198:AA199)/1000</f>
        <v>3810.971</v>
      </c>
      <c r="AE14" s="109">
        <f>SUM(RGPS_Quantidade_Dezembro!AB63:AB64,RGPS_Quantidade_Dezembro!AB198:AB199)/1000</f>
        <v>3837.1039999999998</v>
      </c>
      <c r="AF14" s="109">
        <f>SUM(RGPS_Quantidade_Dezembro!AC63:AC64,RGPS_Quantidade_Dezembro!AC198:AC199)/1000</f>
        <v>3914.6869999999999</v>
      </c>
      <c r="AG14" s="109">
        <f>SUM(RGPS_Quantidade_Dezembro!AD63:AD64,RGPS_Quantidade_Dezembro!AD198:AD199)/1000</f>
        <v>4069.0149999999999</v>
      </c>
      <c r="AH14" s="109">
        <f>SUM(RGPS_Quantidade_Dezembro!AE63:AE64,RGPS_Quantidade_Dezembro!AE198:AE199)/1000</f>
        <v>4218.5010000000002</v>
      </c>
      <c r="AI14" s="109">
        <f>SUM(RGPS_Quantidade_Dezembro!AF63:AF64,RGPS_Quantidade_Dezembro!AF198:AF199)/1000</f>
        <v>4360.759</v>
      </c>
      <c r="AJ14" s="109">
        <f>SUM(RGPS_Quantidade_Dezembro!AG63:AG64,RGPS_Quantidade_Dezembro!AG198:AG199)/1000</f>
        <v>4482.1130000000003</v>
      </c>
      <c r="AK14" s="109">
        <f>SUM(RGPS_Quantidade_Dezembro!AH63:AH64,RGPS_Quantidade_Dezembro!AH198:AH199)/1000</f>
        <v>4624.3180000000002</v>
      </c>
      <c r="AL14" s="109">
        <f>SUM(RGPS_Quantidade_Dezembro!AI63:AI64,RGPS_Quantidade_Dezembro!AI198:AI199)/1000</f>
        <v>4682.8010000000004</v>
      </c>
      <c r="AM14" s="109">
        <f>SUM(RGPS_Quantidade_Dezembro!AJ63:AJ64,RGPS_Quantidade_Dezembro!AJ198:AJ199)/1000</f>
        <v>4738.1260000000002</v>
      </c>
      <c r="AN14" s="109">
        <f>SUM(RGPS_Quantidade_Dezembro!AK63:AK64,RGPS_Quantidade_Dezembro!AK198:AK199)/1000</f>
        <v>4946.643</v>
      </c>
      <c r="AO14" s="109">
        <f>SUM(RGPS_Quantidade_Dezembro!AL63:AL64,RGPS_Quantidade_Dezembro!AL198:AL199)/1000</f>
        <v>5032.8190000000004</v>
      </c>
      <c r="AP14" s="109">
        <f t="shared" si="0"/>
        <v>5098.5030000000006</v>
      </c>
    </row>
    <row r="15" spans="1:42">
      <c r="B15" s="106"/>
      <c r="C15" s="37" t="s">
        <v>40</v>
      </c>
      <c r="D15" s="110">
        <f>D13-D14</f>
        <v>1646.817</v>
      </c>
      <c r="E15" s="110">
        <f t="shared" ref="E15:P15" si="10">E13-E14</f>
        <v>1733.002</v>
      </c>
      <c r="F15" s="110">
        <f t="shared" si="10"/>
        <v>1851.7529999999997</v>
      </c>
      <c r="G15" s="110">
        <f t="shared" si="10"/>
        <v>1817.4719999999998</v>
      </c>
      <c r="H15" s="110">
        <f t="shared" si="10"/>
        <v>1807.9940000000001</v>
      </c>
      <c r="I15" s="110">
        <f t="shared" si="10"/>
        <v>1836.5519999999997</v>
      </c>
      <c r="J15" s="110">
        <f t="shared" si="10"/>
        <v>1898.913</v>
      </c>
      <c r="K15" s="110">
        <f t="shared" si="10"/>
        <v>1939.6390000000006</v>
      </c>
      <c r="L15" s="110">
        <f t="shared" si="10"/>
        <v>2051.8359999999998</v>
      </c>
      <c r="M15" s="110">
        <f t="shared" si="10"/>
        <v>2160.5820000000003</v>
      </c>
      <c r="N15" s="110">
        <f t="shared" si="10"/>
        <v>2132.5739999999996</v>
      </c>
      <c r="O15" s="110">
        <f t="shared" si="10"/>
        <v>2227.3319999999999</v>
      </c>
      <c r="P15" s="110">
        <f t="shared" si="10"/>
        <v>2316.7239999999997</v>
      </c>
      <c r="Q15" s="112">
        <f>Q13-Q14</f>
        <v>28.011999999999944</v>
      </c>
      <c r="R15" s="112">
        <f t="shared" ref="R15:AC15" si="11">R13-R14</f>
        <v>31.337000000000216</v>
      </c>
      <c r="S15" s="112">
        <f t="shared" si="11"/>
        <v>31.707000000000107</v>
      </c>
      <c r="T15" s="112">
        <f t="shared" si="11"/>
        <v>26.938000000000102</v>
      </c>
      <c r="U15" s="112">
        <f t="shared" si="11"/>
        <v>23.509000000000015</v>
      </c>
      <c r="V15" s="112">
        <f t="shared" si="11"/>
        <v>21.944999999999936</v>
      </c>
      <c r="W15" s="112">
        <f t="shared" si="11"/>
        <v>21.634999999999991</v>
      </c>
      <c r="X15" s="112">
        <f t="shared" si="11"/>
        <v>20.628999999999905</v>
      </c>
      <c r="Y15" s="112">
        <f t="shared" si="11"/>
        <v>21.817999999999756</v>
      </c>
      <c r="Z15" s="112">
        <f t="shared" si="11"/>
        <v>22.426000000000386</v>
      </c>
      <c r="AA15" s="112">
        <f t="shared" si="11"/>
        <v>19.376999999999953</v>
      </c>
      <c r="AB15" s="112">
        <f t="shared" si="11"/>
        <v>19.697000000000116</v>
      </c>
      <c r="AC15" s="112">
        <f t="shared" si="11"/>
        <v>19.849999999999909</v>
      </c>
      <c r="AD15" s="109">
        <f>AD13-AD14</f>
        <v>1674.8290000000002</v>
      </c>
      <c r="AE15" s="109">
        <f t="shared" ref="AE15:AO15" si="12">AE13-AE14</f>
        <v>1764.3390000000004</v>
      </c>
      <c r="AF15" s="109">
        <f t="shared" si="12"/>
        <v>1883.46</v>
      </c>
      <c r="AG15" s="109">
        <f t="shared" si="12"/>
        <v>1844.4100000000003</v>
      </c>
      <c r="AH15" s="109">
        <f t="shared" si="12"/>
        <v>1831.5029999999997</v>
      </c>
      <c r="AI15" s="109">
        <f t="shared" si="12"/>
        <v>1858.4970000000003</v>
      </c>
      <c r="AJ15" s="109">
        <f t="shared" si="12"/>
        <v>1920.5479999999998</v>
      </c>
      <c r="AK15" s="109">
        <f t="shared" si="12"/>
        <v>1960.268</v>
      </c>
      <c r="AL15" s="109">
        <f t="shared" si="12"/>
        <v>2073.6539999999995</v>
      </c>
      <c r="AM15" s="109">
        <f t="shared" si="12"/>
        <v>2183.0079999999998</v>
      </c>
      <c r="AN15" s="109">
        <f t="shared" si="12"/>
        <v>2151.951</v>
      </c>
      <c r="AO15" s="109">
        <f t="shared" si="12"/>
        <v>2247.0289999999995</v>
      </c>
      <c r="AP15" s="109">
        <f t="shared" si="0"/>
        <v>2336.5739999999996</v>
      </c>
    </row>
    <row r="16" spans="1:42">
      <c r="B16" s="106" t="s">
        <v>49</v>
      </c>
      <c r="C16" s="105" t="s">
        <v>3</v>
      </c>
      <c r="D16" s="110">
        <f>SUM(RGPS_Quantidade_Dezembro!C89,RGPS_Quantidade_Dezembro!C225)/1000</f>
        <v>832.96600000000001</v>
      </c>
      <c r="E16" s="110">
        <f>SUM(RGPS_Quantidade_Dezembro!D89,RGPS_Quantidade_Dezembro!D225)/1000</f>
        <v>1062.0930000000001</v>
      </c>
      <c r="F16" s="110">
        <f>SUM(RGPS_Quantidade_Dezembro!E89,RGPS_Quantidade_Dezembro!E225)/1000</f>
        <v>1353.4949999999999</v>
      </c>
      <c r="G16" s="110">
        <f>SUM(RGPS_Quantidade_Dezembro!F89,RGPS_Quantidade_Dezembro!F225)/1000</f>
        <v>1461.4929999999999</v>
      </c>
      <c r="H16" s="110">
        <f>SUM(RGPS_Quantidade_Dezembro!G89,RGPS_Quantidade_Dezembro!G225)/1000</f>
        <v>1431.6089999999999</v>
      </c>
      <c r="I16" s="110">
        <f>SUM(RGPS_Quantidade_Dezembro!H89,RGPS_Quantidade_Dezembro!H225)/1000</f>
        <v>1253.5029999999999</v>
      </c>
      <c r="J16" s="110">
        <f>SUM(RGPS_Quantidade_Dezembro!I89,RGPS_Quantidade_Dezembro!I225)/1000</f>
        <v>1188.249</v>
      </c>
      <c r="K16" s="110">
        <f>SUM(RGPS_Quantidade_Dezembro!J89,RGPS_Quantidade_Dezembro!J225)/1000</f>
        <v>1110.933</v>
      </c>
      <c r="L16" s="110">
        <f>SUM(RGPS_Quantidade_Dezembro!K89,RGPS_Quantidade_Dezembro!K225)/1000</f>
        <v>1264.537</v>
      </c>
      <c r="M16" s="110">
        <f>SUM(RGPS_Quantidade_Dezembro!L89,RGPS_Quantidade_Dezembro!L225)/1000</f>
        <v>1288.348</v>
      </c>
      <c r="N16" s="110">
        <f>SUM(RGPS_Quantidade_Dezembro!M89,RGPS_Quantidade_Dezembro!M225)/1000</f>
        <v>1337.433</v>
      </c>
      <c r="O16" s="110">
        <f>SUM(RGPS_Quantidade_Dezembro!N89,RGPS_Quantidade_Dezembro!N225)/1000</f>
        <v>1452.62</v>
      </c>
      <c r="P16" s="110">
        <v>1489.817</v>
      </c>
      <c r="Q16" s="112">
        <f>SUM(RGPS_Quantidade_Dezembro!O89,RGPS_Quantidade_Dezembro!O225)/1000</f>
        <v>122.747</v>
      </c>
      <c r="R16" s="112">
        <f>SUM(RGPS_Quantidade_Dezembro!P89,RGPS_Quantidade_Dezembro!P225)/1000</f>
        <v>144.07900000000001</v>
      </c>
      <c r="S16" s="112">
        <f>SUM(RGPS_Quantidade_Dezembro!Q89,RGPS_Quantidade_Dezembro!Q225)/1000</f>
        <v>160.95699999999999</v>
      </c>
      <c r="T16" s="112">
        <f>SUM(RGPS_Quantidade_Dezembro!R89,RGPS_Quantidade_Dezembro!R225)/1000</f>
        <v>156.71700000000001</v>
      </c>
      <c r="U16" s="112">
        <f>SUM(RGPS_Quantidade_Dezembro!S89,RGPS_Quantidade_Dezembro!S225)/1000</f>
        <v>138.14500000000001</v>
      </c>
      <c r="V16" s="112">
        <f>SUM(RGPS_Quantidade_Dezembro!T89,RGPS_Quantidade_Dezembro!T225)/1000</f>
        <v>128.57</v>
      </c>
      <c r="W16" s="112">
        <f>SUM(RGPS_Quantidade_Dezembro!U89,RGPS_Quantidade_Dezembro!U225)/1000</f>
        <v>127.101</v>
      </c>
      <c r="X16" s="112">
        <f>SUM(RGPS_Quantidade_Dezembro!V89,RGPS_Quantidade_Dezembro!V225)/1000</f>
        <v>128.87799999999999</v>
      </c>
      <c r="Y16" s="112">
        <f>SUM(RGPS_Quantidade_Dezembro!W89,RGPS_Quantidade_Dezembro!W225)/1000</f>
        <v>148.054</v>
      </c>
      <c r="Z16" s="112">
        <f>SUM(RGPS_Quantidade_Dezembro!X89,RGPS_Quantidade_Dezembro!X225)/1000</f>
        <v>153.779</v>
      </c>
      <c r="AA16" s="112">
        <f>SUM(RGPS_Quantidade_Dezembro!Y89,RGPS_Quantidade_Dezembro!Y225)/1000</f>
        <v>166.91900000000001</v>
      </c>
      <c r="AB16" s="112">
        <f>SUM(RGPS_Quantidade_Dezembro!Z89,RGPS_Quantidade_Dezembro!Z225)/1000</f>
        <v>186.84299999999999</v>
      </c>
      <c r="AC16" s="112">
        <v>200.84299999999999</v>
      </c>
      <c r="AD16" s="109">
        <f>SUM(RGPS_Quantidade_Dezembro!AA89,RGPS_Quantidade_Dezembro!AA225)/1000</f>
        <v>955.71299999999997</v>
      </c>
      <c r="AE16" s="109">
        <f>SUM(RGPS_Quantidade_Dezembro!AB89,RGPS_Quantidade_Dezembro!AB225)/1000</f>
        <v>1206.172</v>
      </c>
      <c r="AF16" s="109">
        <f>SUM(RGPS_Quantidade_Dezembro!AC89,RGPS_Quantidade_Dezembro!AC225)/1000</f>
        <v>1514.452</v>
      </c>
      <c r="AG16" s="109">
        <f>SUM(RGPS_Quantidade_Dezembro!AD89,RGPS_Quantidade_Dezembro!AD225)/1000</f>
        <v>1618.21</v>
      </c>
      <c r="AH16" s="109">
        <f>SUM(RGPS_Quantidade_Dezembro!AE89,RGPS_Quantidade_Dezembro!AE225)/1000</f>
        <v>1569.7539999999999</v>
      </c>
      <c r="AI16" s="109">
        <f>SUM(RGPS_Quantidade_Dezembro!AF89,RGPS_Quantidade_Dezembro!AF225)/1000</f>
        <v>1382.0730000000001</v>
      </c>
      <c r="AJ16" s="109">
        <f>SUM(RGPS_Quantidade_Dezembro!AG89,RGPS_Quantidade_Dezembro!AG225)/1000</f>
        <v>1315.35</v>
      </c>
      <c r="AK16" s="109">
        <f>SUM(RGPS_Quantidade_Dezembro!AH89,RGPS_Quantidade_Dezembro!AH225)/1000</f>
        <v>1239.8109999999999</v>
      </c>
      <c r="AL16" s="109">
        <f>SUM(RGPS_Quantidade_Dezembro!AI89,RGPS_Quantidade_Dezembro!AI225)/1000</f>
        <v>1412.5909999999999</v>
      </c>
      <c r="AM16" s="109">
        <f>SUM(RGPS_Quantidade_Dezembro!AJ89,RGPS_Quantidade_Dezembro!AJ225)/1000</f>
        <v>1442.127</v>
      </c>
      <c r="AN16" s="109">
        <f>SUM(RGPS_Quantidade_Dezembro!AK89,RGPS_Quantidade_Dezembro!AK225)/1000</f>
        <v>1504.3520000000001</v>
      </c>
      <c r="AO16" s="109">
        <f>SUM(RGPS_Quantidade_Dezembro!AL89,RGPS_Quantidade_Dezembro!AL225)/1000</f>
        <v>1639.463</v>
      </c>
      <c r="AP16" s="109">
        <f t="shared" si="0"/>
        <v>1690.66</v>
      </c>
    </row>
    <row r="17" spans="1:42">
      <c r="B17" s="106"/>
      <c r="C17" s="37" t="s">
        <v>22</v>
      </c>
      <c r="D17" s="110">
        <f>SUM(RGPS_Quantidade_Dezembro!C90:C91,RGPS_Quantidade_Dezembro!C226:C227)/1000</f>
        <v>178.04</v>
      </c>
      <c r="E17" s="110">
        <f>SUM(RGPS_Quantidade_Dezembro!D90:D91,RGPS_Quantidade_Dezembro!D226:D227)/1000</f>
        <v>199.58699999999999</v>
      </c>
      <c r="F17" s="110">
        <f>SUM(RGPS_Quantidade_Dezembro!E90:E91,RGPS_Quantidade_Dezembro!E226:E227)/1000</f>
        <v>288.37700000000001</v>
      </c>
      <c r="G17" s="110">
        <f>SUM(RGPS_Quantidade_Dezembro!F90:F91,RGPS_Quantidade_Dezembro!F226:F227)/1000</f>
        <v>337.55900000000003</v>
      </c>
      <c r="H17" s="110">
        <f>SUM(RGPS_Quantidade_Dezembro!G90:G91,RGPS_Quantidade_Dezembro!G226:G227)/1000</f>
        <v>377.726</v>
      </c>
      <c r="I17" s="110">
        <f>SUM(RGPS_Quantidade_Dezembro!H90:H91,RGPS_Quantidade_Dezembro!H226:H227)/1000</f>
        <v>346.25400000000002</v>
      </c>
      <c r="J17" s="110">
        <f>SUM(RGPS_Quantidade_Dezembro!I90:I91,RGPS_Quantidade_Dezembro!I226:I227)/1000</f>
        <v>337.72500000000002</v>
      </c>
      <c r="K17" s="110">
        <f>SUM(RGPS_Quantidade_Dezembro!J90:J91,RGPS_Quantidade_Dezembro!J226:J227)/1000</f>
        <v>346.541</v>
      </c>
      <c r="L17" s="110">
        <f>SUM(RGPS_Quantidade_Dezembro!K90:K91,RGPS_Quantidade_Dezembro!K226:K227)/1000</f>
        <v>398.67700000000002</v>
      </c>
      <c r="M17" s="110">
        <f>SUM(RGPS_Quantidade_Dezembro!L90:L91,RGPS_Quantidade_Dezembro!L226:L227)/1000</f>
        <v>403.51400000000001</v>
      </c>
      <c r="N17" s="110">
        <f>SUM(RGPS_Quantidade_Dezembro!M90:M91,RGPS_Quantidade_Dezembro!M226:M227)/1000</f>
        <v>484.73</v>
      </c>
      <c r="O17" s="110">
        <f>SUM(RGPS_Quantidade_Dezembro!N90:N91,RGPS_Quantidade_Dezembro!N226:N227)/1000</f>
        <v>530.05200000000002</v>
      </c>
      <c r="P17" s="110">
        <v>545.76400000000001</v>
      </c>
      <c r="Q17" s="112">
        <f>SUM(RGPS_Quantidade_Dezembro!O90:O91,RGPS_Quantidade_Dezembro!O226:O227)/1000</f>
        <v>107.456</v>
      </c>
      <c r="R17" s="112">
        <f>SUM(RGPS_Quantidade_Dezembro!P90:P91,RGPS_Quantidade_Dezembro!P226:P227)/1000</f>
        <v>130.929</v>
      </c>
      <c r="S17" s="112">
        <f>SUM(RGPS_Quantidade_Dezembro!Q90:Q91,RGPS_Quantidade_Dezembro!Q226:Q227)/1000</f>
        <v>149.459</v>
      </c>
      <c r="T17" s="112">
        <f>SUM(RGPS_Quantidade_Dezembro!R90:R91,RGPS_Quantidade_Dezembro!R226:R227)/1000</f>
        <v>149.398</v>
      </c>
      <c r="U17" s="112">
        <f>SUM(RGPS_Quantidade_Dezembro!S90:S91,RGPS_Quantidade_Dezembro!S226:S227)/1000</f>
        <v>134.523</v>
      </c>
      <c r="V17" s="112">
        <f>SUM(RGPS_Quantidade_Dezembro!T90:T91,RGPS_Quantidade_Dezembro!T226:T227)/1000</f>
        <v>126.488</v>
      </c>
      <c r="W17" s="112">
        <f>SUM(RGPS_Quantidade_Dezembro!U90:U91,RGPS_Quantidade_Dezembro!U226:U227)/1000</f>
        <v>125.967</v>
      </c>
      <c r="X17" s="112">
        <f>SUM(RGPS_Quantidade_Dezembro!V90:V91,RGPS_Quantidade_Dezembro!V226:V227)/1000</f>
        <v>128.11500000000001</v>
      </c>
      <c r="Y17" s="112">
        <f>SUM(RGPS_Quantidade_Dezembro!W90:W91,RGPS_Quantidade_Dezembro!W226:W227)/1000</f>
        <v>147.40600000000001</v>
      </c>
      <c r="Z17" s="112">
        <f>SUM(RGPS_Quantidade_Dezembro!X90:X91,RGPS_Quantidade_Dezembro!X226:X227)/1000</f>
        <v>153.19800000000001</v>
      </c>
      <c r="AA17" s="112">
        <f>SUM(RGPS_Quantidade_Dezembro!Y90:Y91,RGPS_Quantidade_Dezembro!Y226:Y227)/1000</f>
        <v>166.44399999999999</v>
      </c>
      <c r="AB17" s="112">
        <f>SUM(RGPS_Quantidade_Dezembro!Z90:Z91,RGPS_Quantidade_Dezembro!Z226:Z227)/1000</f>
        <v>186.38499999999999</v>
      </c>
      <c r="AC17" s="112">
        <v>200.42400000000001</v>
      </c>
      <c r="AD17" s="109">
        <f>SUM(RGPS_Quantidade_Dezembro!AA90:AA91,RGPS_Quantidade_Dezembro!AA226:AA227)/1000</f>
        <v>285.49599999999998</v>
      </c>
      <c r="AE17" s="109">
        <f>SUM(RGPS_Quantidade_Dezembro!AB90:AB91,RGPS_Quantidade_Dezembro!AB226:AB227)/1000</f>
        <v>330.51600000000002</v>
      </c>
      <c r="AF17" s="109">
        <f>SUM(RGPS_Quantidade_Dezembro!AC90:AC91,RGPS_Quantidade_Dezembro!AC226:AC227)/1000</f>
        <v>437.83600000000001</v>
      </c>
      <c r="AG17" s="109">
        <f>SUM(RGPS_Quantidade_Dezembro!AD90:AD91,RGPS_Quantidade_Dezembro!AD226:AD227)/1000</f>
        <v>486.95699999999999</v>
      </c>
      <c r="AH17" s="109">
        <f>SUM(RGPS_Quantidade_Dezembro!AE90:AE91,RGPS_Quantidade_Dezembro!AE226:AE227)/1000</f>
        <v>512.24900000000002</v>
      </c>
      <c r="AI17" s="109">
        <f>SUM(RGPS_Quantidade_Dezembro!AF90:AF91,RGPS_Quantidade_Dezembro!AF226:AF227)/1000</f>
        <v>472.74200000000002</v>
      </c>
      <c r="AJ17" s="109">
        <f>SUM(RGPS_Quantidade_Dezembro!AG90:AG91,RGPS_Quantidade_Dezembro!AG226:AG227)/1000</f>
        <v>463.69200000000001</v>
      </c>
      <c r="AK17" s="109">
        <f>SUM(RGPS_Quantidade_Dezembro!AH90:AH91,RGPS_Quantidade_Dezembro!AH226:AH227)/1000</f>
        <v>474.65600000000001</v>
      </c>
      <c r="AL17" s="109">
        <f>SUM(RGPS_Quantidade_Dezembro!AI90:AI91,RGPS_Quantidade_Dezembro!AI226:AI227)/1000</f>
        <v>546.08299999999997</v>
      </c>
      <c r="AM17" s="109">
        <f>SUM(RGPS_Quantidade_Dezembro!AJ90:AJ91,RGPS_Quantidade_Dezembro!AJ226:AJ227)/1000</f>
        <v>556.71199999999999</v>
      </c>
      <c r="AN17" s="109">
        <f>SUM(RGPS_Quantidade_Dezembro!AK90:AK91,RGPS_Quantidade_Dezembro!AK226:AK227)/1000</f>
        <v>651.17399999999998</v>
      </c>
      <c r="AO17" s="109">
        <f>SUM(RGPS_Quantidade_Dezembro!AL90:AL91,RGPS_Quantidade_Dezembro!AL226:AL227)/1000</f>
        <v>716.43700000000001</v>
      </c>
      <c r="AP17" s="109">
        <f t="shared" si="0"/>
        <v>746.18799999999999</v>
      </c>
    </row>
    <row r="18" spans="1:42">
      <c r="B18" s="106"/>
      <c r="C18" s="37" t="s">
        <v>40</v>
      </c>
      <c r="D18" s="110">
        <f>D16-D17</f>
        <v>654.92600000000004</v>
      </c>
      <c r="E18" s="110">
        <f t="shared" ref="E18:P18" si="13">E16-E17</f>
        <v>862.50600000000009</v>
      </c>
      <c r="F18" s="110">
        <f t="shared" si="13"/>
        <v>1065.1179999999999</v>
      </c>
      <c r="G18" s="110">
        <f t="shared" si="13"/>
        <v>1123.934</v>
      </c>
      <c r="H18" s="110">
        <f t="shared" si="13"/>
        <v>1053.8829999999998</v>
      </c>
      <c r="I18" s="110">
        <f t="shared" si="13"/>
        <v>907.24899999999991</v>
      </c>
      <c r="J18" s="110">
        <f t="shared" si="13"/>
        <v>850.524</v>
      </c>
      <c r="K18" s="110">
        <f t="shared" si="13"/>
        <v>764.39200000000005</v>
      </c>
      <c r="L18" s="110">
        <f t="shared" si="13"/>
        <v>865.86</v>
      </c>
      <c r="M18" s="110">
        <f t="shared" si="13"/>
        <v>884.83399999999995</v>
      </c>
      <c r="N18" s="110">
        <f t="shared" si="13"/>
        <v>852.70299999999997</v>
      </c>
      <c r="O18" s="110">
        <f t="shared" si="13"/>
        <v>922.56799999999987</v>
      </c>
      <c r="P18" s="110">
        <f t="shared" si="13"/>
        <v>944.053</v>
      </c>
      <c r="Q18" s="112">
        <f>Q16-Q17</f>
        <v>15.290999999999997</v>
      </c>
      <c r="R18" s="112">
        <f t="shared" ref="R18:AC18" si="14">R16-R17</f>
        <v>13.150000000000006</v>
      </c>
      <c r="S18" s="112">
        <f t="shared" si="14"/>
        <v>11.49799999999999</v>
      </c>
      <c r="T18" s="112">
        <f t="shared" si="14"/>
        <v>7.3190000000000168</v>
      </c>
      <c r="U18" s="112">
        <f t="shared" si="14"/>
        <v>3.6220000000000141</v>
      </c>
      <c r="V18" s="112">
        <f t="shared" si="14"/>
        <v>2.0819999999999936</v>
      </c>
      <c r="W18" s="112">
        <f t="shared" si="14"/>
        <v>1.1340000000000003</v>
      </c>
      <c r="X18" s="112">
        <f t="shared" si="14"/>
        <v>0.76299999999997681</v>
      </c>
      <c r="Y18" s="112">
        <f t="shared" si="14"/>
        <v>0.64799999999999613</v>
      </c>
      <c r="Z18" s="112">
        <f t="shared" si="14"/>
        <v>0.58099999999998886</v>
      </c>
      <c r="AA18" s="112">
        <f t="shared" si="14"/>
        <v>0.47500000000002274</v>
      </c>
      <c r="AB18" s="112">
        <f t="shared" si="14"/>
        <v>0.45799999999999841</v>
      </c>
      <c r="AC18" s="112">
        <f t="shared" si="14"/>
        <v>0.41899999999998272</v>
      </c>
      <c r="AD18" s="109">
        <f>AD16-AD17</f>
        <v>670.21699999999998</v>
      </c>
      <c r="AE18" s="109">
        <f t="shared" ref="AE18:AO18" si="15">AE16-AE17</f>
        <v>875.65599999999995</v>
      </c>
      <c r="AF18" s="109">
        <f t="shared" si="15"/>
        <v>1076.616</v>
      </c>
      <c r="AG18" s="109">
        <f t="shared" si="15"/>
        <v>1131.2530000000002</v>
      </c>
      <c r="AH18" s="109">
        <f t="shared" si="15"/>
        <v>1057.5049999999999</v>
      </c>
      <c r="AI18" s="109">
        <f t="shared" si="15"/>
        <v>909.33100000000013</v>
      </c>
      <c r="AJ18" s="109">
        <f t="shared" si="15"/>
        <v>851.6579999999999</v>
      </c>
      <c r="AK18" s="109">
        <f t="shared" si="15"/>
        <v>765.15499999999997</v>
      </c>
      <c r="AL18" s="109">
        <f t="shared" si="15"/>
        <v>866.50799999999992</v>
      </c>
      <c r="AM18" s="109">
        <f t="shared" si="15"/>
        <v>885.41499999999996</v>
      </c>
      <c r="AN18" s="109">
        <f t="shared" si="15"/>
        <v>853.17800000000011</v>
      </c>
      <c r="AO18" s="109">
        <f t="shared" si="15"/>
        <v>923.02599999999995</v>
      </c>
      <c r="AP18" s="109">
        <f t="shared" si="0"/>
        <v>944.47199999999998</v>
      </c>
    </row>
    <row r="19" spans="1:42">
      <c r="B19" s="106" t="s">
        <v>50</v>
      </c>
      <c r="C19" s="105" t="s">
        <v>3</v>
      </c>
      <c r="D19" s="110">
        <f>SUM(RGPS_Quantidade_Dezembro!C112,RGPS_Quantidade_Dezembro!C236)/1000</f>
        <v>262.69099999999997</v>
      </c>
      <c r="E19" s="110">
        <f>SUM(RGPS_Quantidade_Dezembro!D112,RGPS_Quantidade_Dezembro!D236)/1000</f>
        <v>265.33199999999999</v>
      </c>
      <c r="F19" s="110">
        <f>SUM(RGPS_Quantidade_Dezembro!E112,RGPS_Quantidade_Dezembro!E236)/1000</f>
        <v>267.01299999999998</v>
      </c>
      <c r="G19" s="110">
        <f>SUM(RGPS_Quantidade_Dezembro!F112,RGPS_Quantidade_Dezembro!F236)/1000</f>
        <v>269.572</v>
      </c>
      <c r="H19" s="110">
        <f>SUM(RGPS_Quantidade_Dezembro!G112,RGPS_Quantidade_Dezembro!G236)/1000</f>
        <v>273.012</v>
      </c>
      <c r="I19" s="110">
        <f>SUM(RGPS_Quantidade_Dezembro!H112,RGPS_Quantidade_Dezembro!H236)/1000</f>
        <v>276.42700000000002</v>
      </c>
      <c r="J19" s="110">
        <f>SUM(RGPS_Quantidade_Dezembro!I112,RGPS_Quantidade_Dezembro!I236)/1000</f>
        <v>281.178</v>
      </c>
      <c r="K19" s="110">
        <f>SUM(RGPS_Quantidade_Dezembro!J112,RGPS_Quantidade_Dezembro!J236)/1000</f>
        <v>286.53199999999998</v>
      </c>
      <c r="L19" s="110">
        <f>SUM(RGPS_Quantidade_Dezembro!K112,RGPS_Quantidade_Dezembro!K236)/1000</f>
        <v>294.86</v>
      </c>
      <c r="M19" s="110">
        <f>SUM(RGPS_Quantidade_Dezembro!L112,RGPS_Quantidade_Dezembro!L236)/1000</f>
        <v>306.32499999999999</v>
      </c>
      <c r="N19" s="110">
        <f>SUM(RGPS_Quantidade_Dezembro!M112,RGPS_Quantidade_Dezembro!M236)/1000</f>
        <v>317.88799999999998</v>
      </c>
      <c r="O19" s="110">
        <f>SUM(RGPS_Quantidade_Dezembro!N112,RGPS_Quantidade_Dezembro!N236)/1000</f>
        <v>332.673</v>
      </c>
      <c r="P19" s="110">
        <v>347.43200000000002</v>
      </c>
      <c r="Q19" s="112">
        <f>SUM(RGPS_Quantidade_Dezembro!O112,RGPS_Quantidade_Dezembro!O236)/1000</f>
        <v>6.7910000000000004</v>
      </c>
      <c r="R19" s="112">
        <f>SUM(RGPS_Quantidade_Dezembro!P112,RGPS_Quantidade_Dezembro!P236)/1000</f>
        <v>7.57</v>
      </c>
      <c r="S19" s="112">
        <f>SUM(RGPS_Quantidade_Dezembro!Q112,RGPS_Quantidade_Dezembro!Q236)/1000</f>
        <v>8.4060000000000006</v>
      </c>
      <c r="T19" s="112">
        <f>SUM(RGPS_Quantidade_Dezembro!R112,RGPS_Quantidade_Dezembro!R236)/1000</f>
        <v>9.4239999999999995</v>
      </c>
      <c r="U19" s="112">
        <f>SUM(RGPS_Quantidade_Dezembro!S112,RGPS_Quantidade_Dezembro!S236)/1000</f>
        <v>11.048</v>
      </c>
      <c r="V19" s="112">
        <f>SUM(RGPS_Quantidade_Dezembro!T112,RGPS_Quantidade_Dezembro!T236)/1000</f>
        <v>12.103</v>
      </c>
      <c r="W19" s="112">
        <f>SUM(RGPS_Quantidade_Dezembro!U112,RGPS_Quantidade_Dezembro!U236)/1000</f>
        <v>13.244</v>
      </c>
      <c r="X19" s="112">
        <f>SUM(RGPS_Quantidade_Dezembro!V112,RGPS_Quantidade_Dezembro!V236)/1000</f>
        <v>14.432</v>
      </c>
      <c r="Y19" s="112">
        <f>SUM(RGPS_Quantidade_Dezembro!W112,RGPS_Quantidade_Dezembro!W236)/1000</f>
        <v>15.596</v>
      </c>
      <c r="Z19" s="112">
        <f>SUM(RGPS_Quantidade_Dezembro!X112,RGPS_Quantidade_Dezembro!X236)/1000</f>
        <v>16.885000000000002</v>
      </c>
      <c r="AA19" s="112">
        <f>SUM(RGPS_Quantidade_Dezembro!Y112,RGPS_Quantidade_Dezembro!Y236)/1000</f>
        <v>18.027000000000001</v>
      </c>
      <c r="AB19" s="112">
        <f>SUM(RGPS_Quantidade_Dezembro!Z112,RGPS_Quantidade_Dezembro!Z236)/1000</f>
        <v>19.347999999999999</v>
      </c>
      <c r="AC19" s="112">
        <v>20.471</v>
      </c>
      <c r="AD19" s="109">
        <f>SUM(RGPS_Quantidade_Dezembro!AA112,RGPS_Quantidade_Dezembro!AA236)/1000</f>
        <v>269.48200000000003</v>
      </c>
      <c r="AE19" s="109">
        <f>SUM(RGPS_Quantidade_Dezembro!AB112,RGPS_Quantidade_Dezembro!AB236)/1000</f>
        <v>272.90199999999999</v>
      </c>
      <c r="AF19" s="109">
        <f>SUM(RGPS_Quantidade_Dezembro!AC112,RGPS_Quantidade_Dezembro!AC236)/1000</f>
        <v>275.41899999999998</v>
      </c>
      <c r="AG19" s="109">
        <f>SUM(RGPS_Quantidade_Dezembro!AD112,RGPS_Quantidade_Dezembro!AD236)/1000</f>
        <v>278.99599999999998</v>
      </c>
      <c r="AH19" s="109">
        <f>SUM(RGPS_Quantidade_Dezembro!AE112,RGPS_Quantidade_Dezembro!AE236)/1000</f>
        <v>284.06</v>
      </c>
      <c r="AI19" s="109">
        <f>SUM(RGPS_Quantidade_Dezembro!AF112,RGPS_Quantidade_Dezembro!AF236)/1000</f>
        <v>288.52999999999997</v>
      </c>
      <c r="AJ19" s="109">
        <f>SUM(RGPS_Quantidade_Dezembro!AG112,RGPS_Quantidade_Dezembro!AG236)/1000</f>
        <v>294.42200000000003</v>
      </c>
      <c r="AK19" s="109">
        <f>SUM(RGPS_Quantidade_Dezembro!AH112,RGPS_Quantidade_Dezembro!AH236)/1000</f>
        <v>300.964</v>
      </c>
      <c r="AL19" s="109">
        <f>SUM(RGPS_Quantidade_Dezembro!AI112,RGPS_Quantidade_Dezembro!AI236)/1000</f>
        <v>310.45600000000002</v>
      </c>
      <c r="AM19" s="109">
        <f>SUM(RGPS_Quantidade_Dezembro!AJ112,RGPS_Quantidade_Dezembro!AJ236)/1000</f>
        <v>323.20999999999998</v>
      </c>
      <c r="AN19" s="109">
        <f>SUM(RGPS_Quantidade_Dezembro!AK112,RGPS_Quantidade_Dezembro!AK236)/1000</f>
        <v>335.91500000000002</v>
      </c>
      <c r="AO19" s="109">
        <f>SUM(RGPS_Quantidade_Dezembro!AL112,RGPS_Quantidade_Dezembro!AL236)/1000</f>
        <v>352.02100000000002</v>
      </c>
      <c r="AP19" s="109">
        <f t="shared" si="0"/>
        <v>367.90300000000002</v>
      </c>
    </row>
    <row r="20" spans="1:42">
      <c r="B20" s="106"/>
      <c r="C20" s="37" t="s">
        <v>22</v>
      </c>
      <c r="D20" s="110">
        <f>SUM(RGPS_Quantidade_Dezembro!C113:C114,RGPS_Quantidade_Dezembro!C237:C238)/1000</f>
        <v>172.98699999999999</v>
      </c>
      <c r="E20" s="110">
        <f>SUM(RGPS_Quantidade_Dezembro!D113:D114,RGPS_Quantidade_Dezembro!D237:D238)/1000</f>
        <v>171.56299999999999</v>
      </c>
      <c r="F20" s="110">
        <f>SUM(RGPS_Quantidade_Dezembro!E113:E114,RGPS_Quantidade_Dezembro!E237:E238)/1000</f>
        <v>172.58500000000001</v>
      </c>
      <c r="G20" s="110">
        <f>SUM(RGPS_Quantidade_Dezembro!F113:F114,RGPS_Quantidade_Dezembro!F237:F238)/1000</f>
        <v>178.834</v>
      </c>
      <c r="H20" s="110">
        <f>SUM(RGPS_Quantidade_Dezembro!G113:G114,RGPS_Quantidade_Dezembro!G237:G238)/1000</f>
        <v>188.12899999999999</v>
      </c>
      <c r="I20" s="110">
        <f>SUM(RGPS_Quantidade_Dezembro!H113:H114,RGPS_Quantidade_Dezembro!H237:H238)/1000</f>
        <v>191.75700000000001</v>
      </c>
      <c r="J20" s="110">
        <f>SUM(RGPS_Quantidade_Dezembro!I113:I114,RGPS_Quantidade_Dezembro!I237:I238)/1000</f>
        <v>195.88300000000001</v>
      </c>
      <c r="K20" s="110">
        <f>SUM(RGPS_Quantidade_Dezembro!J113:J114,RGPS_Quantidade_Dezembro!J237:J238)/1000</f>
        <v>201.53899999999999</v>
      </c>
      <c r="L20" s="110">
        <f>SUM(RGPS_Quantidade_Dezembro!K113:K114,RGPS_Quantidade_Dezembro!K237:K238)/1000</f>
        <v>206.78800000000001</v>
      </c>
      <c r="M20" s="110">
        <f>SUM(RGPS_Quantidade_Dezembro!L113:L114,RGPS_Quantidade_Dezembro!L237:L238)/1000</f>
        <v>212.666</v>
      </c>
      <c r="N20" s="110">
        <f>SUM(RGPS_Quantidade_Dezembro!M113:M114,RGPS_Quantidade_Dezembro!M237:M238)/1000</f>
        <v>227.083</v>
      </c>
      <c r="O20" s="110">
        <f>SUM(RGPS_Quantidade_Dezembro!N113:N114,RGPS_Quantidade_Dezembro!N237:N238)/1000</f>
        <v>236.87100000000001</v>
      </c>
      <c r="P20" s="110">
        <v>246.90199999999999</v>
      </c>
      <c r="Q20" s="112">
        <f>SUM(RGPS_Quantidade_Dezembro!O113:O114,RGPS_Quantidade_Dezembro!O237:O238)/1000</f>
        <v>6.4359999999999999</v>
      </c>
      <c r="R20" s="112">
        <f>SUM(RGPS_Quantidade_Dezembro!P113:P114,RGPS_Quantidade_Dezembro!P237:P238)/1000</f>
        <v>7.1890000000000001</v>
      </c>
      <c r="S20" s="112">
        <f>SUM(RGPS_Quantidade_Dezembro!Q113:Q114,RGPS_Quantidade_Dezembro!Q237:Q238)/1000</f>
        <v>8.0259999999999998</v>
      </c>
      <c r="T20" s="112">
        <f>SUM(RGPS_Quantidade_Dezembro!R113:R114,RGPS_Quantidade_Dezembro!R237:R238)/1000</f>
        <v>9.0909999999999993</v>
      </c>
      <c r="U20" s="112">
        <f>SUM(RGPS_Quantidade_Dezembro!S113:S114,RGPS_Quantidade_Dezembro!S237:S238)/1000</f>
        <v>10.802</v>
      </c>
      <c r="V20" s="112">
        <f>SUM(RGPS_Quantidade_Dezembro!T113:T114,RGPS_Quantidade_Dezembro!T237:T238)/1000</f>
        <v>11.897</v>
      </c>
      <c r="W20" s="112">
        <f>SUM(RGPS_Quantidade_Dezembro!U113:U114,RGPS_Quantidade_Dezembro!U237:U238)/1000</f>
        <v>13.061</v>
      </c>
      <c r="X20" s="112">
        <f>SUM(RGPS_Quantidade_Dezembro!V113:V114,RGPS_Quantidade_Dezembro!V237:V238)/1000</f>
        <v>14.28</v>
      </c>
      <c r="Y20" s="112">
        <f>SUM(RGPS_Quantidade_Dezembro!W113:W114,RGPS_Quantidade_Dezembro!W237:W238)/1000</f>
        <v>15.452999999999999</v>
      </c>
      <c r="Z20" s="112">
        <f>SUM(RGPS_Quantidade_Dezembro!X113:X114,RGPS_Quantidade_Dezembro!X237:X238)/1000</f>
        <v>16.744</v>
      </c>
      <c r="AA20" s="112">
        <f>SUM(RGPS_Quantidade_Dezembro!Y113:Y114,RGPS_Quantidade_Dezembro!Y237:Y238)/1000</f>
        <v>17.904</v>
      </c>
      <c r="AB20" s="112">
        <f>SUM(RGPS_Quantidade_Dezembro!Z113:Z114,RGPS_Quantidade_Dezembro!Z237:Z238)/1000</f>
        <v>19.228999999999999</v>
      </c>
      <c r="AC20" s="112">
        <v>20.356000000000002</v>
      </c>
      <c r="AD20" s="109">
        <f>SUM(RGPS_Quantidade_Dezembro!AA113:AA114,RGPS_Quantidade_Dezembro!AA237:AA238)/1000</f>
        <v>179.423</v>
      </c>
      <c r="AE20" s="109">
        <f>SUM(RGPS_Quantidade_Dezembro!AB113:AB114,RGPS_Quantidade_Dezembro!AB237:AB238)/1000</f>
        <v>178.75200000000001</v>
      </c>
      <c r="AF20" s="109">
        <f>SUM(RGPS_Quantidade_Dezembro!AC113:AC114,RGPS_Quantidade_Dezembro!AC237:AC238)/1000</f>
        <v>180.61099999999999</v>
      </c>
      <c r="AG20" s="109">
        <f>SUM(RGPS_Quantidade_Dezembro!AD113:AD114,RGPS_Quantidade_Dezembro!AD237:AD238)/1000</f>
        <v>187.92500000000001</v>
      </c>
      <c r="AH20" s="109">
        <f>SUM(RGPS_Quantidade_Dezembro!AE113:AE114,RGPS_Quantidade_Dezembro!AE237:AE238)/1000</f>
        <v>198.93100000000001</v>
      </c>
      <c r="AI20" s="109">
        <f>SUM(RGPS_Quantidade_Dezembro!AF113:AF114,RGPS_Quantidade_Dezembro!AF237:AF238)/1000</f>
        <v>203.654</v>
      </c>
      <c r="AJ20" s="109">
        <f>SUM(RGPS_Quantidade_Dezembro!AG113:AG114,RGPS_Quantidade_Dezembro!AG237:AG238)/1000</f>
        <v>208.94399999999999</v>
      </c>
      <c r="AK20" s="109">
        <f>SUM(RGPS_Quantidade_Dezembro!AH113:AH114,RGPS_Quantidade_Dezembro!AH237:AH238)/1000</f>
        <v>215.81899999999999</v>
      </c>
      <c r="AL20" s="109">
        <f>SUM(RGPS_Quantidade_Dezembro!AI113:AI114,RGPS_Quantidade_Dezembro!AI237:AI238)/1000</f>
        <v>222.24100000000001</v>
      </c>
      <c r="AM20" s="109">
        <f>SUM(RGPS_Quantidade_Dezembro!AJ113:AJ114,RGPS_Quantidade_Dezembro!AJ237:AJ238)/1000</f>
        <v>229.41</v>
      </c>
      <c r="AN20" s="109">
        <f>SUM(RGPS_Quantidade_Dezembro!AK113:AK114,RGPS_Quantidade_Dezembro!AK237:AK238)/1000</f>
        <v>244.98699999999999</v>
      </c>
      <c r="AO20" s="109">
        <f>SUM(RGPS_Quantidade_Dezembro!AL113:AL114,RGPS_Quantidade_Dezembro!AL237:AL238)/1000</f>
        <v>256.10000000000002</v>
      </c>
      <c r="AP20" s="109">
        <f t="shared" si="0"/>
        <v>267.25799999999998</v>
      </c>
    </row>
    <row r="21" spans="1:42">
      <c r="B21" s="106"/>
      <c r="C21" s="37" t="s">
        <v>40</v>
      </c>
      <c r="D21" s="110">
        <f>D19-D20</f>
        <v>89.703999999999979</v>
      </c>
      <c r="E21" s="110">
        <f t="shared" ref="E21:P21" si="16">E19-E20</f>
        <v>93.769000000000005</v>
      </c>
      <c r="F21" s="110">
        <f t="shared" si="16"/>
        <v>94.427999999999969</v>
      </c>
      <c r="G21" s="110">
        <f t="shared" si="16"/>
        <v>90.738</v>
      </c>
      <c r="H21" s="110">
        <f t="shared" si="16"/>
        <v>84.88300000000001</v>
      </c>
      <c r="I21" s="110">
        <f t="shared" si="16"/>
        <v>84.670000000000016</v>
      </c>
      <c r="J21" s="110">
        <f t="shared" si="16"/>
        <v>85.294999999999987</v>
      </c>
      <c r="K21" s="110">
        <f t="shared" si="16"/>
        <v>84.992999999999995</v>
      </c>
      <c r="L21" s="110">
        <f t="shared" si="16"/>
        <v>88.072000000000003</v>
      </c>
      <c r="M21" s="110">
        <f t="shared" si="16"/>
        <v>93.658999999999992</v>
      </c>
      <c r="N21" s="110">
        <f t="shared" si="16"/>
        <v>90.804999999999978</v>
      </c>
      <c r="O21" s="110">
        <f t="shared" si="16"/>
        <v>95.801999999999992</v>
      </c>
      <c r="P21" s="110">
        <f t="shared" si="16"/>
        <v>100.53000000000003</v>
      </c>
      <c r="Q21" s="112">
        <f>Q19-Q20</f>
        <v>0.35500000000000043</v>
      </c>
      <c r="R21" s="112">
        <f t="shared" ref="R21:AC21" si="17">R19-R20</f>
        <v>0.38100000000000023</v>
      </c>
      <c r="S21" s="112">
        <f t="shared" si="17"/>
        <v>0.38000000000000078</v>
      </c>
      <c r="T21" s="112">
        <f t="shared" si="17"/>
        <v>0.33300000000000018</v>
      </c>
      <c r="U21" s="112">
        <f t="shared" si="17"/>
        <v>0.24600000000000044</v>
      </c>
      <c r="V21" s="112">
        <f t="shared" si="17"/>
        <v>0.20599999999999952</v>
      </c>
      <c r="W21" s="112">
        <f t="shared" si="17"/>
        <v>0.18299999999999983</v>
      </c>
      <c r="X21" s="112">
        <f t="shared" si="17"/>
        <v>0.15200000000000102</v>
      </c>
      <c r="Y21" s="112">
        <f t="shared" si="17"/>
        <v>0.14300000000000068</v>
      </c>
      <c r="Z21" s="112">
        <f t="shared" si="17"/>
        <v>0.14100000000000179</v>
      </c>
      <c r="AA21" s="112">
        <f t="shared" si="17"/>
        <v>0.12300000000000111</v>
      </c>
      <c r="AB21" s="112">
        <f t="shared" si="17"/>
        <v>0.11899999999999977</v>
      </c>
      <c r="AC21" s="112">
        <f t="shared" si="17"/>
        <v>0.11499999999999844</v>
      </c>
      <c r="AD21" s="109">
        <f>AD19-AD20</f>
        <v>90.059000000000026</v>
      </c>
      <c r="AE21" s="109">
        <f t="shared" ref="AE21:AO21" si="18">AE19-AE20</f>
        <v>94.149999999999977</v>
      </c>
      <c r="AF21" s="109">
        <f t="shared" si="18"/>
        <v>94.807999999999993</v>
      </c>
      <c r="AG21" s="109">
        <f t="shared" si="18"/>
        <v>91.07099999999997</v>
      </c>
      <c r="AH21" s="109">
        <f t="shared" si="18"/>
        <v>85.128999999999991</v>
      </c>
      <c r="AI21" s="109">
        <f t="shared" si="18"/>
        <v>84.875999999999976</v>
      </c>
      <c r="AJ21" s="109">
        <f t="shared" si="18"/>
        <v>85.478000000000037</v>
      </c>
      <c r="AK21" s="109">
        <f t="shared" si="18"/>
        <v>85.14500000000001</v>
      </c>
      <c r="AL21" s="109">
        <f t="shared" si="18"/>
        <v>88.215000000000003</v>
      </c>
      <c r="AM21" s="109">
        <f t="shared" si="18"/>
        <v>93.799999999999983</v>
      </c>
      <c r="AN21" s="109">
        <f t="shared" si="18"/>
        <v>90.928000000000026</v>
      </c>
      <c r="AO21" s="109">
        <f t="shared" si="18"/>
        <v>95.920999999999992</v>
      </c>
      <c r="AP21" s="109">
        <f t="shared" si="0"/>
        <v>100.64500000000002</v>
      </c>
    </row>
    <row r="22" spans="1:42" ht="17.25" customHeight="1">
      <c r="B22" s="106" t="s">
        <v>25</v>
      </c>
      <c r="C22" s="105" t="s">
        <v>3</v>
      </c>
      <c r="D22" s="110">
        <f>SUM(RGPS_Quantidade_Dezembro!C101,RGPS_Quantidade_Dezembro!C120,RGPS_Quantidade_Dezembro!C135,RGPS_Quantidade_Dezembro!C250)/1000</f>
        <v>224.999</v>
      </c>
      <c r="E22" s="110">
        <f>SUM(RGPS_Quantidade_Dezembro!D101,RGPS_Quantidade_Dezembro!D120,RGPS_Quantidade_Dezembro!D135,RGPS_Quantidade_Dezembro!D250)/1000</f>
        <v>146.30799999999999</v>
      </c>
      <c r="F22" s="110">
        <f>SUM(RGPS_Quantidade_Dezembro!E101,RGPS_Quantidade_Dezembro!E120,RGPS_Quantidade_Dezembro!E135,RGPS_Quantidade_Dezembro!E250)/1000</f>
        <v>137.99799999999999</v>
      </c>
      <c r="G22" s="110">
        <f>SUM(RGPS_Quantidade_Dezembro!F101,RGPS_Quantidade_Dezembro!F120,RGPS_Quantidade_Dezembro!F135,RGPS_Quantidade_Dezembro!F250)/1000</f>
        <v>131.411</v>
      </c>
      <c r="H22" s="110">
        <f>SUM(RGPS_Quantidade_Dezembro!G101,RGPS_Quantidade_Dezembro!G120,RGPS_Quantidade_Dezembro!G135,RGPS_Quantidade_Dezembro!G250)/1000</f>
        <v>129.64099999999999</v>
      </c>
      <c r="I22" s="110">
        <f>SUM(RGPS_Quantidade_Dezembro!H101,RGPS_Quantidade_Dezembro!H120,RGPS_Quantidade_Dezembro!H135,RGPS_Quantidade_Dezembro!H250)/1000</f>
        <v>132.49199999999999</v>
      </c>
      <c r="J22" s="110">
        <f>SUM(RGPS_Quantidade_Dezembro!I101,RGPS_Quantidade_Dezembro!I120,RGPS_Quantidade_Dezembro!I135,RGPS_Quantidade_Dezembro!I250)/1000</f>
        <v>138.11600000000001</v>
      </c>
      <c r="K22" s="110">
        <f>SUM(RGPS_Quantidade_Dezembro!J101,RGPS_Quantidade_Dezembro!J120,RGPS_Quantidade_Dezembro!J135,RGPS_Quantidade_Dezembro!J250)/1000</f>
        <v>152.24199999999999</v>
      </c>
      <c r="L22" s="110">
        <f>SUM(RGPS_Quantidade_Dezembro!K101,RGPS_Quantidade_Dezembro!K120,RGPS_Quantidade_Dezembro!K135,RGPS_Quantidade_Dezembro!K250)/1000</f>
        <v>155.04400000000001</v>
      </c>
      <c r="M22" s="110">
        <f>SUM(RGPS_Quantidade_Dezembro!L101,RGPS_Quantidade_Dezembro!L120,RGPS_Quantidade_Dezembro!L135,RGPS_Quantidade_Dezembro!L250)/1000</f>
        <v>159.386</v>
      </c>
      <c r="N22" s="110">
        <f>SUM(RGPS_Quantidade_Dezembro!M101,RGPS_Quantidade_Dezembro!M120,RGPS_Quantidade_Dezembro!M135,RGPS_Quantidade_Dezembro!M250)/1000</f>
        <v>169.15299999999999</v>
      </c>
      <c r="O22" s="110">
        <f>SUM(RGPS_Quantidade_Dezembro!N101,RGPS_Quantidade_Dezembro!N120,RGPS_Quantidade_Dezembro!N135,RGPS_Quantidade_Dezembro!N250)/1000</f>
        <v>178.27</v>
      </c>
      <c r="P22" s="110">
        <f>P25-P19-P16-P13-P10-P7-P4</f>
        <v>172.64499999999862</v>
      </c>
      <c r="Q22" s="112">
        <f>SUM(RGPS_Quantidade_Dezembro!O101,RGPS_Quantidade_Dezembro!O120,RGPS_Quantidade_Dezembro!O135,RGPS_Quantidade_Dezembro!O250)/1000</f>
        <v>26.116</v>
      </c>
      <c r="R22" s="112">
        <f>SUM(RGPS_Quantidade_Dezembro!P101,RGPS_Quantidade_Dezembro!P120,RGPS_Quantidade_Dezembro!P135,RGPS_Quantidade_Dezembro!P250)/1000</f>
        <v>22.155999999999999</v>
      </c>
      <c r="S22" s="112">
        <f>SUM(RGPS_Quantidade_Dezembro!Q101,RGPS_Quantidade_Dezembro!Q120,RGPS_Quantidade_Dezembro!Q135,RGPS_Quantidade_Dezembro!Q250)/1000</f>
        <v>21.593</v>
      </c>
      <c r="T22" s="112">
        <f>SUM(RGPS_Quantidade_Dezembro!R101,RGPS_Quantidade_Dezembro!R120,RGPS_Quantidade_Dezembro!R135,RGPS_Quantidade_Dezembro!R250)/1000</f>
        <v>18.475999999999999</v>
      </c>
      <c r="U22" s="112">
        <f>SUM(RGPS_Quantidade_Dezembro!S101,RGPS_Quantidade_Dezembro!S120,RGPS_Quantidade_Dezembro!S135,RGPS_Quantidade_Dezembro!S250)/1000</f>
        <v>17.66</v>
      </c>
      <c r="V22" s="112">
        <f>SUM(RGPS_Quantidade_Dezembro!T101,RGPS_Quantidade_Dezembro!T120,RGPS_Quantidade_Dezembro!T135,RGPS_Quantidade_Dezembro!T250)/1000</f>
        <v>16.463999999999999</v>
      </c>
      <c r="W22" s="112">
        <f>SUM(RGPS_Quantidade_Dezembro!U101,RGPS_Quantidade_Dezembro!U120,RGPS_Quantidade_Dezembro!U135,RGPS_Quantidade_Dezembro!U250)/1000</f>
        <v>18.940999999999999</v>
      </c>
      <c r="X22" s="112">
        <f>SUM(RGPS_Quantidade_Dezembro!V101,RGPS_Quantidade_Dezembro!V120,RGPS_Quantidade_Dezembro!V135,RGPS_Quantidade_Dezembro!V250)/1000</f>
        <v>20.832999999999998</v>
      </c>
      <c r="Y22" s="112">
        <f>SUM(RGPS_Quantidade_Dezembro!W101,RGPS_Quantidade_Dezembro!W120,RGPS_Quantidade_Dezembro!W135,RGPS_Quantidade_Dezembro!W250)/1000</f>
        <v>19.733000000000001</v>
      </c>
      <c r="Z22" s="112">
        <f>SUM(RGPS_Quantidade_Dezembro!X101,RGPS_Quantidade_Dezembro!X120,RGPS_Quantidade_Dezembro!X135,RGPS_Quantidade_Dezembro!X250)/1000</f>
        <v>17.404</v>
      </c>
      <c r="AA22" s="112">
        <f>SUM(RGPS_Quantidade_Dezembro!Y101,RGPS_Quantidade_Dezembro!Y120,RGPS_Quantidade_Dezembro!Y135,RGPS_Quantidade_Dezembro!Y250)/1000</f>
        <v>17.315000000000001</v>
      </c>
      <c r="AB22" s="112">
        <f>SUM(RGPS_Quantidade_Dezembro!Z101,RGPS_Quantidade_Dezembro!Z120,RGPS_Quantidade_Dezembro!Z135,RGPS_Quantidade_Dezembro!Z250)/1000</f>
        <v>18.518000000000001</v>
      </c>
      <c r="AC22" s="112">
        <f>AC25-AC19-AC16-AC13-AC10-AC7-AC4</f>
        <v>16.108000000001002</v>
      </c>
      <c r="AD22" s="109">
        <f>SUM(RGPS_Quantidade_Dezembro!AA101,RGPS_Quantidade_Dezembro!AA120,RGPS_Quantidade_Dezembro!AA135,RGPS_Quantidade_Dezembro!AA250)/1000</f>
        <v>251.11500000000001</v>
      </c>
      <c r="AE22" s="109">
        <f>SUM(RGPS_Quantidade_Dezembro!AB101,RGPS_Quantidade_Dezembro!AB120,RGPS_Quantidade_Dezembro!AB135,RGPS_Quantidade_Dezembro!AB250)/1000</f>
        <v>168.464</v>
      </c>
      <c r="AF22" s="109">
        <f>SUM(RGPS_Quantidade_Dezembro!AC101,RGPS_Quantidade_Dezembro!AC120,RGPS_Quantidade_Dezembro!AC135,RGPS_Quantidade_Dezembro!AC250)/1000</f>
        <v>159.59100000000001</v>
      </c>
      <c r="AG22" s="109">
        <f>SUM(RGPS_Quantidade_Dezembro!AD101,RGPS_Quantidade_Dezembro!AD120,RGPS_Quantidade_Dezembro!AD135,RGPS_Quantidade_Dezembro!AD250)/1000</f>
        <v>149.887</v>
      </c>
      <c r="AH22" s="109">
        <f>SUM(RGPS_Quantidade_Dezembro!AE101,RGPS_Quantidade_Dezembro!AE120,RGPS_Quantidade_Dezembro!AE135,RGPS_Quantidade_Dezembro!AE250)/1000</f>
        <v>147.30099999999999</v>
      </c>
      <c r="AI22" s="109">
        <f>SUM(RGPS_Quantidade_Dezembro!AF101,RGPS_Quantidade_Dezembro!AF120,RGPS_Quantidade_Dezembro!AF135,RGPS_Quantidade_Dezembro!AF250)/1000</f>
        <v>148.95599999999999</v>
      </c>
      <c r="AJ22" s="109">
        <f>SUM(RGPS_Quantidade_Dezembro!AG101,RGPS_Quantidade_Dezembro!AG120,RGPS_Quantidade_Dezembro!AG135,RGPS_Quantidade_Dezembro!AG250)/1000</f>
        <v>157.05699999999999</v>
      </c>
      <c r="AK22" s="109">
        <f>SUM(RGPS_Quantidade_Dezembro!AH101,RGPS_Quantidade_Dezembro!AH120,RGPS_Quantidade_Dezembro!AH135,RGPS_Quantidade_Dezembro!AH250)/1000</f>
        <v>173.07499999999999</v>
      </c>
      <c r="AL22" s="109">
        <f>SUM(RGPS_Quantidade_Dezembro!AI101,RGPS_Quantidade_Dezembro!AI120,RGPS_Quantidade_Dezembro!AI135,RGPS_Quantidade_Dezembro!AI250)/1000</f>
        <v>174.77699999999999</v>
      </c>
      <c r="AM22" s="109">
        <f>SUM(RGPS_Quantidade_Dezembro!AJ101,RGPS_Quantidade_Dezembro!AJ120,RGPS_Quantidade_Dezembro!AJ135,RGPS_Quantidade_Dezembro!AJ250)/1000</f>
        <v>176.79</v>
      </c>
      <c r="AN22" s="109">
        <f>SUM(RGPS_Quantidade_Dezembro!AK101,RGPS_Quantidade_Dezembro!AK120,RGPS_Quantidade_Dezembro!AK135,RGPS_Quantidade_Dezembro!AK250)/1000</f>
        <v>186.46799999999999</v>
      </c>
      <c r="AO22" s="109">
        <f>SUM(RGPS_Quantidade_Dezembro!AL101,RGPS_Quantidade_Dezembro!AL120,RGPS_Quantidade_Dezembro!AL135,RGPS_Quantidade_Dezembro!AL250)/1000</f>
        <v>196.78800000000001</v>
      </c>
      <c r="AP22" s="109">
        <f t="shared" si="0"/>
        <v>188.75299999999962</v>
      </c>
    </row>
    <row r="23" spans="1:42" ht="17.25" customHeight="1">
      <c r="B23" s="106"/>
      <c r="C23" s="37" t="s">
        <v>22</v>
      </c>
      <c r="D23" s="110">
        <f>SUM(RGPS_Quantidade_Dezembro!C102:C103,RGPS_Quantidade_Dezembro!C121:C122,RGPS_Quantidade_Dezembro!C136:C137,RGPS_Quantidade_Dezembro!C251:C252)/1000</f>
        <v>118.42400000000001</v>
      </c>
      <c r="E23" s="110">
        <f>SUM(RGPS_Quantidade_Dezembro!D102:D103,RGPS_Quantidade_Dezembro!D121:D122,RGPS_Quantidade_Dezembro!D136:D137,RGPS_Quantidade_Dezembro!D251:D252)/1000</f>
        <v>112.651</v>
      </c>
      <c r="F23" s="110">
        <f>SUM(RGPS_Quantidade_Dezembro!E102:E103,RGPS_Quantidade_Dezembro!E121:E122,RGPS_Quantidade_Dezembro!E136:E137,RGPS_Quantidade_Dezembro!E251:E252)/1000</f>
        <v>112.163</v>
      </c>
      <c r="G23" s="110">
        <f>SUM(RGPS_Quantidade_Dezembro!F102:F103,RGPS_Quantidade_Dezembro!F121:F122,RGPS_Quantidade_Dezembro!F136:F137,RGPS_Quantidade_Dezembro!F251:F252)/1000</f>
        <v>108.73699999999999</v>
      </c>
      <c r="H23" s="110">
        <f>SUM(RGPS_Quantidade_Dezembro!G102:G103,RGPS_Quantidade_Dezembro!G121:G122,RGPS_Quantidade_Dezembro!G136:G137,RGPS_Quantidade_Dezembro!G251:G252)/1000</f>
        <v>108.476</v>
      </c>
      <c r="I23" s="110">
        <f>SUM(RGPS_Quantidade_Dezembro!H102:H103,RGPS_Quantidade_Dezembro!H121:H122,RGPS_Quantidade_Dezembro!H136:H137,RGPS_Quantidade_Dezembro!H251:H252)/1000</f>
        <v>108.093</v>
      </c>
      <c r="J23" s="110">
        <f>SUM(RGPS_Quantidade_Dezembro!I102:I103,RGPS_Quantidade_Dezembro!I121:I122,RGPS_Quantidade_Dezembro!I136:I137,RGPS_Quantidade_Dezembro!I251:I252)/1000</f>
        <v>109.81100000000001</v>
      </c>
      <c r="K23" s="110">
        <f>SUM(RGPS_Quantidade_Dezembro!J102:J103,RGPS_Quantidade_Dezembro!J121:J122,RGPS_Quantidade_Dezembro!J136:J137,RGPS_Quantidade_Dezembro!J251:J252)/1000</f>
        <v>118.473</v>
      </c>
      <c r="L23" s="110">
        <f>SUM(RGPS_Quantidade_Dezembro!K102:K103,RGPS_Quantidade_Dezembro!K121:K122,RGPS_Quantidade_Dezembro!K136:K137,RGPS_Quantidade_Dezembro!K251:K252)/1000</f>
        <v>118.29900000000001</v>
      </c>
      <c r="M23" s="110">
        <f>SUM(RGPS_Quantidade_Dezembro!L102:L103,RGPS_Quantidade_Dezembro!L121:L122,RGPS_Quantidade_Dezembro!L136:L137,RGPS_Quantidade_Dezembro!L251:L252)/1000</f>
        <v>112.675</v>
      </c>
      <c r="N23" s="110">
        <f>SUM(RGPS_Quantidade_Dezembro!M102:M103,RGPS_Quantidade_Dezembro!M121:M122,RGPS_Quantidade_Dezembro!M136:M137,RGPS_Quantidade_Dezembro!M251:M252)/1000</f>
        <v>125.839</v>
      </c>
      <c r="O23" s="110">
        <f>SUM(RGPS_Quantidade_Dezembro!N102:N103,RGPS_Quantidade_Dezembro!N121:N122,RGPS_Quantidade_Dezembro!N136:N137,RGPS_Quantidade_Dezembro!N251:N252)/1000</f>
        <v>140.97200000000001</v>
      </c>
      <c r="P23" s="110">
        <f>P26-P20-P17-P14-P11-P8-P5</f>
        <v>128.68299999999908</v>
      </c>
      <c r="Q23" s="112">
        <f>SUM(RGPS_Quantidade_Dezembro!O102:O103,RGPS_Quantidade_Dezembro!O121:O122,RGPS_Quantidade_Dezembro!O136:O137,RGPS_Quantidade_Dezembro!O251:O252)/1000</f>
        <v>25.465</v>
      </c>
      <c r="R23" s="112">
        <f>SUM(RGPS_Quantidade_Dezembro!P102:P103,RGPS_Quantidade_Dezembro!P121:P122,RGPS_Quantidade_Dezembro!P136:P137,RGPS_Quantidade_Dezembro!P251:P252)/1000</f>
        <v>21.765000000000001</v>
      </c>
      <c r="S23" s="112">
        <f>SUM(RGPS_Quantidade_Dezembro!Q102:Q103,RGPS_Quantidade_Dezembro!Q121:Q122,RGPS_Quantidade_Dezembro!Q136:Q137,RGPS_Quantidade_Dezembro!Q251:Q252)/1000</f>
        <v>21.175000000000001</v>
      </c>
      <c r="T23" s="112">
        <f>SUM(RGPS_Quantidade_Dezembro!R102:R103,RGPS_Quantidade_Dezembro!R121:R122,RGPS_Quantidade_Dezembro!R136:R137,RGPS_Quantidade_Dezembro!R251:R252)/1000</f>
        <v>18.04</v>
      </c>
      <c r="U23" s="112">
        <f>SUM(RGPS_Quantidade_Dezembro!S102:S103,RGPS_Quantidade_Dezembro!S121:S122,RGPS_Quantidade_Dezembro!S136:S137,RGPS_Quantidade_Dezembro!S251:S252)/1000</f>
        <v>17.306000000000001</v>
      </c>
      <c r="V23" s="112">
        <f>SUM(RGPS_Quantidade_Dezembro!T102:T103,RGPS_Quantidade_Dezembro!T121:T122,RGPS_Quantidade_Dezembro!T136:T137,RGPS_Quantidade_Dezembro!T251:T252)/1000</f>
        <v>16.097000000000001</v>
      </c>
      <c r="W23" s="112">
        <f>SUM(RGPS_Quantidade_Dezembro!U102:U103,RGPS_Quantidade_Dezembro!U121:U122,RGPS_Quantidade_Dezembro!U136:U137,RGPS_Quantidade_Dezembro!U251:U252)/1000</f>
        <v>18.606000000000002</v>
      </c>
      <c r="X23" s="112">
        <f>SUM(RGPS_Quantidade_Dezembro!V102:V103,RGPS_Quantidade_Dezembro!V121:V122,RGPS_Quantidade_Dezembro!V136:V137,RGPS_Quantidade_Dezembro!V251:V252)/1000</f>
        <v>20.494</v>
      </c>
      <c r="Y23" s="112">
        <f>SUM(RGPS_Quantidade_Dezembro!W102:W103,RGPS_Quantidade_Dezembro!W121:W122,RGPS_Quantidade_Dezembro!W136:W137,RGPS_Quantidade_Dezembro!W251:W252)/1000</f>
        <v>19.369</v>
      </c>
      <c r="Z23" s="112">
        <f>SUM(RGPS_Quantidade_Dezembro!X102:X103,RGPS_Quantidade_Dezembro!X121:X122,RGPS_Quantidade_Dezembro!X136:X137,RGPS_Quantidade_Dezembro!X251:X252)/1000</f>
        <v>17.056999999999999</v>
      </c>
      <c r="AA23" s="112">
        <f>SUM(RGPS_Quantidade_Dezembro!Y102:Y103,RGPS_Quantidade_Dezembro!Y121:Y122,RGPS_Quantidade_Dezembro!Y136:Y137,RGPS_Quantidade_Dezembro!Y251:Y252)/1000</f>
        <v>17.050999999999998</v>
      </c>
      <c r="AB23" s="112">
        <f>SUM(RGPS_Quantidade_Dezembro!Z102:Z103,RGPS_Quantidade_Dezembro!Z121:Z122,RGPS_Quantidade_Dezembro!Z136:Z137,RGPS_Quantidade_Dezembro!Z251:Z252)/1000</f>
        <v>18.286999999999999</v>
      </c>
      <c r="AC23" s="112">
        <f>AC26-AC20-AC17-AC14-AC11-AC8-AC5</f>
        <v>15.969999999999818</v>
      </c>
      <c r="AD23" s="109">
        <f>SUM(RGPS_Quantidade_Dezembro!AA102:AA103,RGPS_Quantidade_Dezembro!AA121:AA122,RGPS_Quantidade_Dezembro!AA136:AA137,RGPS_Quantidade_Dezembro!AA251:AA252)/1000</f>
        <v>143.88900000000001</v>
      </c>
      <c r="AE23" s="109">
        <f>SUM(RGPS_Quantidade_Dezembro!AB102:AB103,RGPS_Quantidade_Dezembro!AB121:AB122,RGPS_Quantidade_Dezembro!AB136:AB137,RGPS_Quantidade_Dezembro!AB251:AB252)/1000</f>
        <v>134.416</v>
      </c>
      <c r="AF23" s="109">
        <f>SUM(RGPS_Quantidade_Dezembro!AC102:AC103,RGPS_Quantidade_Dezembro!AC121:AC122,RGPS_Quantidade_Dezembro!AC136:AC137,RGPS_Quantidade_Dezembro!AC251:AC252)/1000</f>
        <v>133.33799999999999</v>
      </c>
      <c r="AG23" s="109">
        <f>SUM(RGPS_Quantidade_Dezembro!AD102:AD103,RGPS_Quantidade_Dezembro!AD121:AD122,RGPS_Quantidade_Dezembro!AD136:AD137,RGPS_Quantidade_Dezembro!AD251:AD252)/1000</f>
        <v>126.777</v>
      </c>
      <c r="AH23" s="109">
        <f>SUM(RGPS_Quantidade_Dezembro!AE102:AE103,RGPS_Quantidade_Dezembro!AE121:AE122,RGPS_Quantidade_Dezembro!AE136:AE137,RGPS_Quantidade_Dezembro!AE251:AE252)/1000</f>
        <v>125.782</v>
      </c>
      <c r="AI23" s="109">
        <f>SUM(RGPS_Quantidade_Dezembro!AF102:AF103,RGPS_Quantidade_Dezembro!AF121:AF122,RGPS_Quantidade_Dezembro!AF136:AF137,RGPS_Quantidade_Dezembro!AF251:AF252)/1000</f>
        <v>124.19</v>
      </c>
      <c r="AJ23" s="109">
        <f>SUM(RGPS_Quantidade_Dezembro!AG102:AG103,RGPS_Quantidade_Dezembro!AG121:AG122,RGPS_Quantidade_Dezembro!AG136:AG137,RGPS_Quantidade_Dezembro!AG251:AG252)/1000</f>
        <v>128.417</v>
      </c>
      <c r="AK23" s="109">
        <f>SUM(RGPS_Quantidade_Dezembro!AH102:AH103,RGPS_Quantidade_Dezembro!AH121:AH122,RGPS_Quantidade_Dezembro!AH136:AH137,RGPS_Quantidade_Dezembro!AH251:AH252)/1000</f>
        <v>138.96700000000001</v>
      </c>
      <c r="AL23" s="109">
        <f>SUM(RGPS_Quantidade_Dezembro!AI102:AI103,RGPS_Quantidade_Dezembro!AI121:AI122,RGPS_Quantidade_Dezembro!AI136:AI137,RGPS_Quantidade_Dezembro!AI251:AI252)/1000</f>
        <v>137.66800000000001</v>
      </c>
      <c r="AM23" s="109">
        <f>SUM(RGPS_Quantidade_Dezembro!AJ102:AJ103,RGPS_Quantidade_Dezembro!AJ121:AJ122,RGPS_Quantidade_Dezembro!AJ136:AJ137,RGPS_Quantidade_Dezembro!AJ251:AJ252)/1000</f>
        <v>129.732</v>
      </c>
      <c r="AN23" s="109">
        <f>SUM(RGPS_Quantidade_Dezembro!AK102:AK103,RGPS_Quantidade_Dezembro!AK121:AK122,RGPS_Quantidade_Dezembro!AK136:AK137,RGPS_Quantidade_Dezembro!AK251:AK252)/1000</f>
        <v>142.88999999999999</v>
      </c>
      <c r="AO23" s="109">
        <f>SUM(RGPS_Quantidade_Dezembro!AL102:AL103,RGPS_Quantidade_Dezembro!AL121:AL122,RGPS_Quantidade_Dezembro!AL136:AL137,RGPS_Quantidade_Dezembro!AL251:AL252)/1000</f>
        <v>159.25899999999999</v>
      </c>
      <c r="AP23" s="109">
        <f t="shared" si="0"/>
        <v>144.65299999999891</v>
      </c>
    </row>
    <row r="24" spans="1:42" ht="17.25" customHeight="1">
      <c r="B24" s="106"/>
      <c r="C24" s="37" t="s">
        <v>40</v>
      </c>
      <c r="D24" s="110">
        <f>D22-D23</f>
        <v>106.57499999999999</v>
      </c>
      <c r="E24" s="110">
        <f t="shared" ref="E24:P24" si="19">E22-E23</f>
        <v>33.656999999999996</v>
      </c>
      <c r="F24" s="110">
        <f t="shared" si="19"/>
        <v>25.834999999999994</v>
      </c>
      <c r="G24" s="110">
        <f t="shared" si="19"/>
        <v>22.674000000000007</v>
      </c>
      <c r="H24" s="110">
        <f t="shared" si="19"/>
        <v>21.164999999999992</v>
      </c>
      <c r="I24" s="110">
        <f t="shared" si="19"/>
        <v>24.398999999999987</v>
      </c>
      <c r="J24" s="110">
        <f t="shared" si="19"/>
        <v>28.305000000000007</v>
      </c>
      <c r="K24" s="110">
        <f t="shared" si="19"/>
        <v>33.768999999999991</v>
      </c>
      <c r="L24" s="110">
        <f t="shared" si="19"/>
        <v>36.745000000000005</v>
      </c>
      <c r="M24" s="110">
        <f t="shared" si="19"/>
        <v>46.710999999999999</v>
      </c>
      <c r="N24" s="110">
        <f t="shared" si="19"/>
        <v>43.313999999999993</v>
      </c>
      <c r="O24" s="110">
        <f t="shared" si="19"/>
        <v>37.298000000000002</v>
      </c>
      <c r="P24" s="110">
        <f t="shared" si="19"/>
        <v>43.961999999999534</v>
      </c>
      <c r="Q24" s="112">
        <f>Q22-Q23</f>
        <v>0.6509999999999998</v>
      </c>
      <c r="R24" s="112">
        <f t="shared" ref="R24:AC24" si="20">R22-R23</f>
        <v>0.39099999999999824</v>
      </c>
      <c r="S24" s="112">
        <f t="shared" si="20"/>
        <v>0.41799999999999926</v>
      </c>
      <c r="T24" s="112">
        <f t="shared" si="20"/>
        <v>0.43599999999999994</v>
      </c>
      <c r="U24" s="112">
        <f t="shared" si="20"/>
        <v>0.3539999999999992</v>
      </c>
      <c r="V24" s="112">
        <f t="shared" si="20"/>
        <v>0.36699999999999733</v>
      </c>
      <c r="W24" s="112">
        <f t="shared" si="20"/>
        <v>0.3349999999999973</v>
      </c>
      <c r="X24" s="112">
        <f t="shared" si="20"/>
        <v>0.33899999999999864</v>
      </c>
      <c r="Y24" s="112">
        <f t="shared" si="20"/>
        <v>0.36400000000000077</v>
      </c>
      <c r="Z24" s="112">
        <f t="shared" si="20"/>
        <v>0.34700000000000131</v>
      </c>
      <c r="AA24" s="112">
        <f t="shared" si="20"/>
        <v>0.2640000000000029</v>
      </c>
      <c r="AB24" s="112">
        <f t="shared" si="20"/>
        <v>0.23100000000000165</v>
      </c>
      <c r="AC24" s="112">
        <f t="shared" si="20"/>
        <v>0.13800000000118473</v>
      </c>
      <c r="AD24" s="109">
        <f>AD22-AD23</f>
        <v>107.226</v>
      </c>
      <c r="AE24" s="109">
        <f t="shared" ref="AE24:AO24" si="21">AE22-AE23</f>
        <v>34.048000000000002</v>
      </c>
      <c r="AF24" s="109">
        <f t="shared" si="21"/>
        <v>26.253000000000014</v>
      </c>
      <c r="AG24" s="109">
        <f t="shared" si="21"/>
        <v>23.11</v>
      </c>
      <c r="AH24" s="109">
        <f t="shared" si="21"/>
        <v>21.518999999999991</v>
      </c>
      <c r="AI24" s="109">
        <f t="shared" si="21"/>
        <v>24.765999999999991</v>
      </c>
      <c r="AJ24" s="109">
        <f t="shared" si="21"/>
        <v>28.639999999999986</v>
      </c>
      <c r="AK24" s="109">
        <f t="shared" si="21"/>
        <v>34.107999999999976</v>
      </c>
      <c r="AL24" s="109">
        <f t="shared" si="21"/>
        <v>37.10899999999998</v>
      </c>
      <c r="AM24" s="109">
        <f t="shared" si="21"/>
        <v>47.057999999999993</v>
      </c>
      <c r="AN24" s="109">
        <f t="shared" si="21"/>
        <v>43.578000000000003</v>
      </c>
      <c r="AO24" s="109">
        <f t="shared" si="21"/>
        <v>37.529000000000025</v>
      </c>
      <c r="AP24" s="109">
        <f t="shared" si="0"/>
        <v>44.100000000000719</v>
      </c>
    </row>
    <row r="25" spans="1:42" ht="17.25" customHeight="1">
      <c r="B25" s="106" t="s">
        <v>37</v>
      </c>
      <c r="C25" s="105" t="s">
        <v>3</v>
      </c>
      <c r="D25" s="110">
        <f>SUM(RGPS_Quantidade_Dezembro!C4)/1000</f>
        <v>12297.133</v>
      </c>
      <c r="E25" s="110">
        <f>SUM(RGPS_Quantidade_Dezembro!D4)/1000</f>
        <v>12760.637000000001</v>
      </c>
      <c r="F25" s="110">
        <f>SUM(RGPS_Quantidade_Dezembro!E4)/1000</f>
        <v>13569.516</v>
      </c>
      <c r="G25" s="110">
        <f>SUM(RGPS_Quantidade_Dezembro!F4)/1000</f>
        <v>14027.392</v>
      </c>
      <c r="H25" s="110">
        <f>SUM(RGPS_Quantidade_Dezembro!G4)/1000</f>
        <v>14339.565000000001</v>
      </c>
      <c r="I25" s="110">
        <f>SUM(RGPS_Quantidade_Dezembro!H4)/1000</f>
        <v>14569.050999999999</v>
      </c>
      <c r="J25" s="110">
        <f>SUM(RGPS_Quantidade_Dezembro!I4)/1000</f>
        <v>15037.669</v>
      </c>
      <c r="K25" s="110">
        <f>SUM(RGPS_Quantidade_Dezembro!J4)/1000</f>
        <v>15538.579</v>
      </c>
      <c r="L25" s="110">
        <f>SUM(RGPS_Quantidade_Dezembro!K4)/1000</f>
        <v>16180.688</v>
      </c>
      <c r="M25" s="110">
        <f>SUM(RGPS_Quantidade_Dezembro!L4)/1000</f>
        <v>16715.613000000001</v>
      </c>
      <c r="N25" s="110">
        <f>SUM(RGPS_Quantidade_Dezembro!M4)/1000</f>
        <v>17332.432000000001</v>
      </c>
      <c r="O25" s="110">
        <f>SUM(RGPS_Quantidade_Dezembro!N4)/1000</f>
        <v>18055.067999999999</v>
      </c>
      <c r="P25" s="110">
        <v>18651.174999999999</v>
      </c>
      <c r="Q25" s="111">
        <f>SUM(RGPS_Quantidade_Dezembro!O4)/1000</f>
        <v>6575.5330000000004</v>
      </c>
      <c r="R25" s="112">
        <f>SUM(RGPS_Quantidade_Dezembro!P4)/1000</f>
        <v>6760.6289999999999</v>
      </c>
      <c r="S25" s="112">
        <f>SUM(RGPS_Quantidade_Dezembro!Q4)/1000</f>
        <v>6947.7420000000002</v>
      </c>
      <c r="T25" s="112">
        <f>SUM(RGPS_Quantidade_Dezembro!R4)/1000</f>
        <v>7130.7449999999999</v>
      </c>
      <c r="U25" s="112">
        <f>SUM(RGPS_Quantidade_Dezembro!S4)/1000</f>
        <v>7305.32</v>
      </c>
      <c r="V25" s="112">
        <f>SUM(RGPS_Quantidade_Dezembro!T4)/1000</f>
        <v>7497.2120000000004</v>
      </c>
      <c r="W25" s="112">
        <f>SUM(RGPS_Quantidade_Dezembro!U4)/1000</f>
        <v>7738.5360000000001</v>
      </c>
      <c r="X25" s="112">
        <f>SUM(RGPS_Quantidade_Dezembro!V4)/1000</f>
        <v>7995.9179999999997</v>
      </c>
      <c r="Y25" s="112">
        <f>SUM(RGPS_Quantidade_Dezembro!W4)/1000</f>
        <v>8246.1939999999995</v>
      </c>
      <c r="Z25" s="112">
        <f>SUM(RGPS_Quantidade_Dezembro!X4)/1000</f>
        <v>8460.7099999999991</v>
      </c>
      <c r="AA25" s="112">
        <f>SUM(RGPS_Quantidade_Dezembro!Y4)/1000</f>
        <v>8700.4230000000007</v>
      </c>
      <c r="AB25" s="112">
        <f>SUM(RGPS_Quantidade_Dezembro!Z4)/1000</f>
        <v>8953.9429999999993</v>
      </c>
      <c r="AC25" s="112">
        <v>9167.7980000000007</v>
      </c>
      <c r="AD25" s="109">
        <f>SUM(RGPS_Quantidade_Dezembro!AA4)/1000</f>
        <v>18872.666000000001</v>
      </c>
      <c r="AE25" s="109">
        <f>SUM(RGPS_Quantidade_Dezembro!AB4)/1000</f>
        <v>19521.266</v>
      </c>
      <c r="AF25" s="109">
        <f>SUM(RGPS_Quantidade_Dezembro!AC4)/1000</f>
        <v>20517.258000000002</v>
      </c>
      <c r="AG25" s="109">
        <f>SUM(RGPS_Quantidade_Dezembro!AD4)/1000</f>
        <v>21158.136999999999</v>
      </c>
      <c r="AH25" s="109">
        <f>SUM(RGPS_Quantidade_Dezembro!AE4)/1000</f>
        <v>21644.884999999998</v>
      </c>
      <c r="AI25" s="109">
        <f>SUM(RGPS_Quantidade_Dezembro!AF4)/1000</f>
        <v>22066.262999999999</v>
      </c>
      <c r="AJ25" s="109">
        <f>SUM(RGPS_Quantidade_Dezembro!AG4)/1000</f>
        <v>22776.205000000002</v>
      </c>
      <c r="AK25" s="109">
        <f>SUM(RGPS_Quantidade_Dezembro!AH4)/1000</f>
        <v>23534.496999999999</v>
      </c>
      <c r="AL25" s="109">
        <f>SUM(RGPS_Quantidade_Dezembro!AI4)/1000</f>
        <v>24426.882000000001</v>
      </c>
      <c r="AM25" s="109">
        <f>SUM(RGPS_Quantidade_Dezembro!AJ4)/1000</f>
        <v>25176.323</v>
      </c>
      <c r="AN25" s="109">
        <f>SUM(RGPS_Quantidade_Dezembro!AK4)/1000</f>
        <v>26032.855</v>
      </c>
      <c r="AO25" s="109">
        <f>SUM(RGPS_Quantidade_Dezembro!AL4)/1000</f>
        <v>27009.010999999999</v>
      </c>
      <c r="AP25" s="109">
        <f t="shared" si="0"/>
        <v>27818.972999999998</v>
      </c>
    </row>
    <row r="26" spans="1:42" ht="17.25" customHeight="1">
      <c r="B26" s="106"/>
      <c r="C26" s="37" t="s">
        <v>22</v>
      </c>
      <c r="D26" s="110">
        <f>SUM(RGPS_Quantidade_Dezembro!C5:C6)/1000</f>
        <v>5203.3900000000003</v>
      </c>
      <c r="E26" s="110">
        <f>SUM(RGPS_Quantidade_Dezembro!D5:D6)/1000</f>
        <v>5231.3440000000001</v>
      </c>
      <c r="F26" s="110">
        <f>SUM(RGPS_Quantidade_Dezembro!E5:E6)/1000</f>
        <v>5512.6509999999998</v>
      </c>
      <c r="G26" s="110">
        <f>SUM(RGPS_Quantidade_Dezembro!F5:F6)/1000</f>
        <v>5909.7910000000002</v>
      </c>
      <c r="H26" s="110">
        <f>SUM(RGPS_Quantidade_Dezembro!G5:G6)/1000</f>
        <v>6326.8310000000001</v>
      </c>
      <c r="I26" s="110">
        <f>SUM(RGPS_Quantidade_Dezembro!H5:H6)/1000</f>
        <v>6577.7870000000003</v>
      </c>
      <c r="J26" s="110">
        <f>SUM(RGPS_Quantidade_Dezembro!I5:I6)/1000</f>
        <v>6844.9660000000003</v>
      </c>
      <c r="K26" s="110">
        <f>SUM(RGPS_Quantidade_Dezembro!J5:J6)/1000</f>
        <v>7237.241</v>
      </c>
      <c r="L26" s="110">
        <f>SUM(RGPS_Quantidade_Dezembro!K5:K6)/1000</f>
        <v>7443.6850000000004</v>
      </c>
      <c r="M26" s="110">
        <f>SUM(RGPS_Quantidade_Dezembro!L5:L6)/1000</f>
        <v>7575.6949999999997</v>
      </c>
      <c r="N26" s="110">
        <f>SUM(RGPS_Quantidade_Dezembro!M5:M6)/1000</f>
        <v>8224.2209999999995</v>
      </c>
      <c r="O26" s="110">
        <f>SUM(RGPS_Quantidade_Dezembro!N5:N6)/1000</f>
        <v>8554.9740000000002</v>
      </c>
      <c r="P26" s="110">
        <v>8785.8220000000001</v>
      </c>
      <c r="Q26" s="111">
        <f>SUM(RGPS_Quantidade_Dezembro!O5:O6)/1000</f>
        <v>6484.4049999999997</v>
      </c>
      <c r="R26" s="112">
        <f>SUM(RGPS_Quantidade_Dezembro!P5:P6)/1000</f>
        <v>6663.5929999999998</v>
      </c>
      <c r="S26" s="112">
        <f>SUM(RGPS_Quantidade_Dezembro!Q5:Q6)/1000</f>
        <v>6853.5889999999999</v>
      </c>
      <c r="T26" s="112">
        <f>SUM(RGPS_Quantidade_Dezembro!R5:R6)/1000</f>
        <v>7048.3280000000004</v>
      </c>
      <c r="U26" s="112">
        <f>SUM(RGPS_Quantidade_Dezembro!S5:S6)/1000</f>
        <v>7235.3559999999998</v>
      </c>
      <c r="V26" s="112">
        <f>SUM(RGPS_Quantidade_Dezembro!T5:T6)/1000</f>
        <v>7432.2389999999996</v>
      </c>
      <c r="W26" s="112">
        <f>SUM(RGPS_Quantidade_Dezembro!U5:U6)/1000</f>
        <v>7675.8559999999998</v>
      </c>
      <c r="X26" s="112">
        <f>SUM(RGPS_Quantidade_Dezembro!V5:V6)/1000</f>
        <v>7936.7139999999999</v>
      </c>
      <c r="Y26" s="112">
        <f>SUM(RGPS_Quantidade_Dezembro!W5:W6)/1000</f>
        <v>8185.6369999999997</v>
      </c>
      <c r="Z26" s="112">
        <f>SUM(RGPS_Quantidade_Dezembro!X5:X6)/1000</f>
        <v>8398.607</v>
      </c>
      <c r="AA26" s="112">
        <f>SUM(RGPS_Quantidade_Dezembro!Y5:Y6)/1000</f>
        <v>8644.4670000000006</v>
      </c>
      <c r="AB26" s="112">
        <f>SUM(RGPS_Quantidade_Dezembro!Z5:Z6)/1000</f>
        <v>8897.4449999999997</v>
      </c>
      <c r="AC26" s="112">
        <v>9110.0190000000002</v>
      </c>
      <c r="AD26" s="109">
        <f>SUM(RGPS_Quantidade_Dezembro!AA5:AA6)/1000</f>
        <v>11687.795</v>
      </c>
      <c r="AE26" s="109">
        <f>SUM(RGPS_Quantidade_Dezembro!AB5:AB6)/1000</f>
        <v>11894.937</v>
      </c>
      <c r="AF26" s="109">
        <f>SUM(RGPS_Quantidade_Dezembro!AC5:AC6)/1000</f>
        <v>12366.24</v>
      </c>
      <c r="AG26" s="109">
        <f>SUM(RGPS_Quantidade_Dezembro!AD5:AD6)/1000</f>
        <v>12958.119000000001</v>
      </c>
      <c r="AH26" s="109">
        <f>SUM(RGPS_Quantidade_Dezembro!AE5:AE6)/1000</f>
        <v>13562.187</v>
      </c>
      <c r="AI26" s="109">
        <f>SUM(RGPS_Quantidade_Dezembro!AF5:AF6)/1000</f>
        <v>14010.026</v>
      </c>
      <c r="AJ26" s="109">
        <f>SUM(RGPS_Quantidade_Dezembro!AG5:AG6)/1000</f>
        <v>14520.822</v>
      </c>
      <c r="AK26" s="109">
        <f>SUM(RGPS_Quantidade_Dezembro!AH5:AH6)/1000</f>
        <v>15173.955</v>
      </c>
      <c r="AL26" s="109">
        <f>SUM(RGPS_Quantidade_Dezembro!AI5:AI6)/1000</f>
        <v>15629.322</v>
      </c>
      <c r="AM26" s="109">
        <f>SUM(RGPS_Quantidade_Dezembro!AJ5:AJ6)/1000</f>
        <v>15974.302</v>
      </c>
      <c r="AN26" s="109">
        <f>SUM(RGPS_Quantidade_Dezembro!AK5:AK6)/1000</f>
        <v>16868.687999999998</v>
      </c>
      <c r="AO26" s="109">
        <f>SUM(RGPS_Quantidade_Dezembro!AL5:AL6)/1000</f>
        <v>17452.419000000002</v>
      </c>
      <c r="AP26" s="109">
        <f t="shared" si="0"/>
        <v>17895.841</v>
      </c>
    </row>
    <row r="27" spans="1:42" ht="17.25" customHeight="1">
      <c r="B27" s="107"/>
      <c r="C27" s="39" t="s">
        <v>40</v>
      </c>
      <c r="D27" s="113">
        <f>(D25-D26)</f>
        <v>7093.7429999999995</v>
      </c>
      <c r="E27" s="113">
        <f t="shared" ref="E27:P27" si="22">(E25-E26)</f>
        <v>7529.2930000000006</v>
      </c>
      <c r="F27" s="113">
        <f t="shared" si="22"/>
        <v>8056.8649999999998</v>
      </c>
      <c r="G27" s="113">
        <f t="shared" si="22"/>
        <v>8117.6009999999997</v>
      </c>
      <c r="H27" s="113">
        <f t="shared" si="22"/>
        <v>8012.7340000000004</v>
      </c>
      <c r="I27" s="113">
        <f t="shared" si="22"/>
        <v>7991.2639999999992</v>
      </c>
      <c r="J27" s="113">
        <f t="shared" si="22"/>
        <v>8192.7029999999995</v>
      </c>
      <c r="K27" s="113">
        <f t="shared" si="22"/>
        <v>8301.3379999999997</v>
      </c>
      <c r="L27" s="113">
        <f t="shared" si="22"/>
        <v>8737.0030000000006</v>
      </c>
      <c r="M27" s="113">
        <f t="shared" si="22"/>
        <v>9139.9180000000015</v>
      </c>
      <c r="N27" s="113">
        <f t="shared" si="22"/>
        <v>9108.2110000000011</v>
      </c>
      <c r="O27" s="113">
        <f t="shared" si="22"/>
        <v>9500.0939999999991</v>
      </c>
      <c r="P27" s="113">
        <f t="shared" si="22"/>
        <v>9865.3529999999992</v>
      </c>
      <c r="Q27" s="114">
        <f>Q25-Q26</f>
        <v>91.128000000000611</v>
      </c>
      <c r="R27" s="115">
        <f t="shared" ref="R27:AC27" si="23">R25-R26</f>
        <v>97.036000000000058</v>
      </c>
      <c r="S27" s="115">
        <f t="shared" si="23"/>
        <v>94.153000000000247</v>
      </c>
      <c r="T27" s="115">
        <f t="shared" si="23"/>
        <v>82.416999999999462</v>
      </c>
      <c r="U27" s="115">
        <f t="shared" si="23"/>
        <v>69.963999999999942</v>
      </c>
      <c r="V27" s="115">
        <f t="shared" si="23"/>
        <v>64.973000000000866</v>
      </c>
      <c r="W27" s="115">
        <f t="shared" si="23"/>
        <v>62.680000000000291</v>
      </c>
      <c r="X27" s="115">
        <f t="shared" si="23"/>
        <v>59.203999999999724</v>
      </c>
      <c r="Y27" s="115">
        <f t="shared" si="23"/>
        <v>60.556999999999789</v>
      </c>
      <c r="Z27" s="115">
        <f t="shared" si="23"/>
        <v>62.102999999999156</v>
      </c>
      <c r="AA27" s="115">
        <f t="shared" si="23"/>
        <v>55.956000000000131</v>
      </c>
      <c r="AB27" s="115">
        <f t="shared" si="23"/>
        <v>56.497999999999593</v>
      </c>
      <c r="AC27" s="115">
        <f t="shared" si="23"/>
        <v>57.779000000000451</v>
      </c>
      <c r="AD27" s="116">
        <f>AD25-AD26</f>
        <v>7184.871000000001</v>
      </c>
      <c r="AE27" s="116">
        <f t="shared" ref="AE27:AO27" si="24">AE25-AE26</f>
        <v>7626.3289999999997</v>
      </c>
      <c r="AF27" s="116">
        <f t="shared" si="24"/>
        <v>8151.0180000000018</v>
      </c>
      <c r="AG27" s="116">
        <f t="shared" si="24"/>
        <v>8200.0179999999982</v>
      </c>
      <c r="AH27" s="116">
        <f t="shared" si="24"/>
        <v>8082.6979999999985</v>
      </c>
      <c r="AI27" s="116">
        <f t="shared" si="24"/>
        <v>8056.2369999999992</v>
      </c>
      <c r="AJ27" s="116">
        <f t="shared" si="24"/>
        <v>8255.3830000000016</v>
      </c>
      <c r="AK27" s="116">
        <f t="shared" si="24"/>
        <v>8360.5419999999995</v>
      </c>
      <c r="AL27" s="116">
        <f t="shared" si="24"/>
        <v>8797.5600000000013</v>
      </c>
      <c r="AM27" s="116">
        <f t="shared" si="24"/>
        <v>9202.0210000000006</v>
      </c>
      <c r="AN27" s="116">
        <f t="shared" si="24"/>
        <v>9164.1670000000013</v>
      </c>
      <c r="AO27" s="116">
        <f t="shared" si="24"/>
        <v>9556.5919999999969</v>
      </c>
      <c r="AP27" s="116">
        <f t="shared" si="0"/>
        <v>9923.1319999999996</v>
      </c>
    </row>
    <row r="28" spans="1:42">
      <c r="D28" s="134"/>
      <c r="E28" s="134"/>
      <c r="F28" s="134"/>
      <c r="G28" s="134"/>
      <c r="H28" s="134"/>
      <c r="I28" s="134"/>
      <c r="J28" s="134"/>
      <c r="K28" s="134"/>
      <c r="L28" s="134"/>
      <c r="M28" s="134"/>
      <c r="N28" s="134"/>
      <c r="O28" s="134"/>
      <c r="P28" s="134"/>
      <c r="Q28" s="134"/>
      <c r="R28" s="134"/>
      <c r="S28" s="134"/>
      <c r="T28" s="134"/>
      <c r="U28" s="134"/>
      <c r="V28" s="134"/>
      <c r="W28" s="134"/>
      <c r="X28" s="134"/>
      <c r="Y28" s="134"/>
      <c r="Z28" s="134"/>
      <c r="AA28" s="134"/>
      <c r="AB28" s="134"/>
      <c r="AC28" s="134"/>
      <c r="AD28" s="134"/>
      <c r="AE28" s="134"/>
      <c r="AF28" s="134"/>
      <c r="AG28" s="134"/>
      <c r="AH28" s="134"/>
      <c r="AI28" s="134"/>
      <c r="AJ28" s="134"/>
      <c r="AK28" s="134"/>
      <c r="AL28" s="134"/>
      <c r="AM28" s="134"/>
      <c r="AN28" s="134"/>
      <c r="AO28" s="134"/>
      <c r="AP28" s="134"/>
    </row>
    <row r="29" spans="1:42" s="100" customFormat="1" ht="15" customHeight="1">
      <c r="A29" s="101"/>
      <c r="B29" s="101" t="s">
        <v>92</v>
      </c>
      <c r="C29" s="101"/>
      <c r="D29" s="632" t="s">
        <v>102</v>
      </c>
      <c r="E29" s="632"/>
      <c r="F29" s="632"/>
      <c r="G29" s="632"/>
      <c r="H29" s="632"/>
      <c r="I29" s="632"/>
      <c r="J29" s="632"/>
      <c r="K29" s="632"/>
      <c r="L29" s="632"/>
      <c r="M29" s="632"/>
      <c r="N29" s="632"/>
      <c r="O29" s="632"/>
      <c r="P29" s="130"/>
      <c r="Q29" s="632" t="s">
        <v>56</v>
      </c>
      <c r="R29" s="632"/>
      <c r="S29" s="632"/>
      <c r="T29" s="632"/>
      <c r="U29" s="632"/>
      <c r="V29" s="632"/>
      <c r="W29" s="632"/>
      <c r="X29" s="632"/>
      <c r="Y29" s="632"/>
      <c r="Z29" s="632"/>
      <c r="AA29" s="632"/>
      <c r="AB29" s="632"/>
      <c r="AC29" s="127"/>
      <c r="AD29" s="632" t="s">
        <v>37</v>
      </c>
      <c r="AE29" s="632"/>
      <c r="AF29" s="632"/>
      <c r="AG29" s="632"/>
      <c r="AH29" s="632"/>
      <c r="AI29" s="632"/>
      <c r="AJ29" s="632"/>
      <c r="AK29" s="632"/>
      <c r="AL29" s="632"/>
      <c r="AM29" s="632"/>
      <c r="AN29" s="632"/>
      <c r="AO29" s="632"/>
    </row>
    <row r="30" spans="1:42" ht="27" customHeight="1">
      <c r="B30" s="108"/>
      <c r="C30" s="108"/>
      <c r="D30" s="36">
        <v>2002</v>
      </c>
      <c r="E30" s="36">
        <v>2003</v>
      </c>
      <c r="F30" s="36">
        <v>2004</v>
      </c>
      <c r="G30" s="36">
        <v>2005</v>
      </c>
      <c r="H30" s="36">
        <v>2006</v>
      </c>
      <c r="I30" s="36">
        <v>2007</v>
      </c>
      <c r="J30" s="36">
        <v>2008</v>
      </c>
      <c r="K30" s="36">
        <v>2009</v>
      </c>
      <c r="L30" s="36">
        <v>2010</v>
      </c>
      <c r="M30" s="36">
        <v>2011</v>
      </c>
      <c r="N30" s="36">
        <v>2012</v>
      </c>
      <c r="O30" s="36">
        <v>2013</v>
      </c>
      <c r="P30" s="131">
        <v>2014</v>
      </c>
      <c r="Q30" s="36">
        <v>2002</v>
      </c>
      <c r="R30" s="36">
        <v>2003</v>
      </c>
      <c r="S30" s="36">
        <v>2004</v>
      </c>
      <c r="T30" s="36">
        <v>2005</v>
      </c>
      <c r="U30" s="36">
        <v>2006</v>
      </c>
      <c r="V30" s="36">
        <v>2007</v>
      </c>
      <c r="W30" s="36">
        <v>2008</v>
      </c>
      <c r="X30" s="36">
        <v>2009</v>
      </c>
      <c r="Y30" s="36">
        <v>2010</v>
      </c>
      <c r="Z30" s="36">
        <v>2011</v>
      </c>
      <c r="AA30" s="36">
        <v>2012</v>
      </c>
      <c r="AB30" s="36">
        <v>2013</v>
      </c>
      <c r="AC30" s="36">
        <v>2014</v>
      </c>
      <c r="AD30" s="36">
        <v>2002</v>
      </c>
      <c r="AE30" s="36">
        <v>2003</v>
      </c>
      <c r="AF30" s="36">
        <v>2004</v>
      </c>
      <c r="AG30" s="36">
        <v>2005</v>
      </c>
      <c r="AH30" s="36">
        <v>2006</v>
      </c>
      <c r="AI30" s="36">
        <v>2007</v>
      </c>
      <c r="AJ30" s="36">
        <v>2008</v>
      </c>
      <c r="AK30" s="36">
        <v>2009</v>
      </c>
      <c r="AL30" s="36">
        <v>2010</v>
      </c>
      <c r="AM30" s="36">
        <v>2011</v>
      </c>
      <c r="AN30" s="36">
        <v>2012</v>
      </c>
      <c r="AO30" s="36">
        <v>2013</v>
      </c>
      <c r="AP30" s="36">
        <v>2014</v>
      </c>
    </row>
    <row r="31" spans="1:42">
      <c r="B31" s="106" t="s">
        <v>53</v>
      </c>
      <c r="C31" s="37" t="s">
        <v>22</v>
      </c>
      <c r="D31" s="117">
        <f>D5/D4</f>
        <v>0.1037467821578094</v>
      </c>
      <c r="E31" s="118">
        <f t="shared" ref="E31:AO31" si="25">E5/E4</f>
        <v>0.10395434564333815</v>
      </c>
      <c r="F31" s="118">
        <f t="shared" si="25"/>
        <v>0.10771394783727646</v>
      </c>
      <c r="G31" s="118">
        <f t="shared" si="25"/>
        <v>0.12093396546893842</v>
      </c>
      <c r="H31" s="118">
        <f t="shared" si="25"/>
        <v>0.13915846136391344</v>
      </c>
      <c r="I31" s="118">
        <f t="shared" si="25"/>
        <v>0.14890993129624608</v>
      </c>
      <c r="J31" s="118">
        <f t="shared" si="25"/>
        <v>0.15950633919961105</v>
      </c>
      <c r="K31" s="118">
        <f t="shared" si="25"/>
        <v>0.17471642972572771</v>
      </c>
      <c r="L31" s="118">
        <f t="shared" si="25"/>
        <v>0.18076365166913497</v>
      </c>
      <c r="M31" s="118">
        <f t="shared" si="25"/>
        <v>0.18281378522385849</v>
      </c>
      <c r="N31" s="118">
        <f t="shared" si="25"/>
        <v>0.20156493166066042</v>
      </c>
      <c r="O31" s="118">
        <f t="shared" si="25"/>
        <v>0.20874982684294105</v>
      </c>
      <c r="P31" s="118">
        <f>P5/P4</f>
        <v>0.21161543019269979</v>
      </c>
      <c r="Q31" s="120">
        <f>Q5/Q4</f>
        <v>0.2827775239835541</v>
      </c>
      <c r="R31" s="120">
        <f t="shared" si="25"/>
        <v>0.27529547420005768</v>
      </c>
      <c r="S31" s="120">
        <f t="shared" si="25"/>
        <v>0.281413612565445</v>
      </c>
      <c r="T31" s="120">
        <f t="shared" si="25"/>
        <v>0.33288933288933287</v>
      </c>
      <c r="U31" s="120">
        <f t="shared" si="25"/>
        <v>0.39160772318868292</v>
      </c>
      <c r="V31" s="120">
        <f t="shared" si="25"/>
        <v>0.43074220465524815</v>
      </c>
      <c r="W31" s="120">
        <f t="shared" si="25"/>
        <v>0.46515858577869174</v>
      </c>
      <c r="X31" s="120">
        <f t="shared" si="25"/>
        <v>0.52220660576247369</v>
      </c>
      <c r="Y31" s="120">
        <f t="shared" si="25"/>
        <v>0.53930899608865712</v>
      </c>
      <c r="Z31" s="120">
        <f t="shared" si="25"/>
        <v>0.5524368617379074</v>
      </c>
      <c r="AA31" s="120">
        <f t="shared" si="25"/>
        <v>0.60046309696092626</v>
      </c>
      <c r="AB31" s="120">
        <f t="shared" si="25"/>
        <v>0.62125919869174162</v>
      </c>
      <c r="AC31" s="120">
        <f>AC5/AC4</f>
        <v>0.63316763183518676</v>
      </c>
      <c r="AD31" s="121">
        <f>AD5/AD4</f>
        <v>0.10408273423951543</v>
      </c>
      <c r="AE31" s="121">
        <f t="shared" si="25"/>
        <v>0.1042886895428651</v>
      </c>
      <c r="AF31" s="121">
        <f t="shared" si="25"/>
        <v>0.10807621342751592</v>
      </c>
      <c r="AG31" s="121">
        <f t="shared" si="25"/>
        <v>0.12144957935541847</v>
      </c>
      <c r="AH31" s="121">
        <f t="shared" si="25"/>
        <v>0.13985502372974334</v>
      </c>
      <c r="AI31" s="121">
        <f t="shared" si="25"/>
        <v>0.14972362254424484</v>
      </c>
      <c r="AJ31" s="121">
        <f t="shared" si="25"/>
        <v>0.16044475290264237</v>
      </c>
      <c r="AK31" s="121">
        <f t="shared" si="25"/>
        <v>0.17586191000280532</v>
      </c>
      <c r="AL31" s="121">
        <f t="shared" si="25"/>
        <v>0.1819895165665262</v>
      </c>
      <c r="AM31" s="121">
        <f t="shared" si="25"/>
        <v>0.18410736707255401</v>
      </c>
      <c r="AN31" s="121">
        <f t="shared" si="25"/>
        <v>0.20298217993239706</v>
      </c>
      <c r="AO31" s="121">
        <f t="shared" si="25"/>
        <v>0.21024409488932622</v>
      </c>
      <c r="AP31" s="121">
        <f>AP5/AP4</f>
        <v>0.21318077508829361</v>
      </c>
    </row>
    <row r="32" spans="1:42">
      <c r="B32" s="106"/>
      <c r="C32" s="37" t="s">
        <v>40</v>
      </c>
      <c r="D32" s="117">
        <f>1-D31</f>
        <v>0.89625321784219059</v>
      </c>
      <c r="E32" s="118">
        <f t="shared" ref="E32:AO32" si="26">1-E31</f>
        <v>0.89604565435666184</v>
      </c>
      <c r="F32" s="118">
        <f t="shared" si="26"/>
        <v>0.8922860521627235</v>
      </c>
      <c r="G32" s="118">
        <f t="shared" si="26"/>
        <v>0.87906603453106158</v>
      </c>
      <c r="H32" s="118">
        <f t="shared" si="26"/>
        <v>0.86084153863608659</v>
      </c>
      <c r="I32" s="118">
        <f t="shared" si="26"/>
        <v>0.85109006870375392</v>
      </c>
      <c r="J32" s="118">
        <f t="shared" si="26"/>
        <v>0.84049366080038901</v>
      </c>
      <c r="K32" s="118">
        <f t="shared" si="26"/>
        <v>0.82528357027427224</v>
      </c>
      <c r="L32" s="118">
        <f t="shared" si="26"/>
        <v>0.81923634833086501</v>
      </c>
      <c r="M32" s="118">
        <f t="shared" si="26"/>
        <v>0.81718621477614151</v>
      </c>
      <c r="N32" s="118">
        <f t="shared" si="26"/>
        <v>0.79843506833933953</v>
      </c>
      <c r="O32" s="118">
        <f t="shared" si="26"/>
        <v>0.79125017315705892</v>
      </c>
      <c r="P32" s="118">
        <f>1-P31</f>
        <v>0.78838456980730021</v>
      </c>
      <c r="Q32" s="120">
        <f>1-Q31</f>
        <v>0.71722247601644584</v>
      </c>
      <c r="R32" s="120">
        <f t="shared" si="26"/>
        <v>0.72470452579994227</v>
      </c>
      <c r="S32" s="120">
        <f t="shared" si="26"/>
        <v>0.71858638743455505</v>
      </c>
      <c r="T32" s="120">
        <f t="shared" si="26"/>
        <v>0.66711066711066713</v>
      </c>
      <c r="U32" s="120">
        <f t="shared" si="26"/>
        <v>0.60839227681131702</v>
      </c>
      <c r="V32" s="120">
        <f t="shared" si="26"/>
        <v>0.56925779534475185</v>
      </c>
      <c r="W32" s="120">
        <f t="shared" si="26"/>
        <v>0.53484141422130826</v>
      </c>
      <c r="X32" s="120">
        <f t="shared" si="26"/>
        <v>0.47779339423752631</v>
      </c>
      <c r="Y32" s="120">
        <f t="shared" si="26"/>
        <v>0.46069100391134288</v>
      </c>
      <c r="Z32" s="120">
        <f t="shared" si="26"/>
        <v>0.4475631382620926</v>
      </c>
      <c r="AA32" s="120">
        <f t="shared" si="26"/>
        <v>0.39953690303907374</v>
      </c>
      <c r="AB32" s="120">
        <f t="shared" si="26"/>
        <v>0.37874080130825838</v>
      </c>
      <c r="AC32" s="120">
        <f>1-AC31</f>
        <v>0.36683236816481324</v>
      </c>
      <c r="AD32" s="121">
        <f>1-AD31</f>
        <v>0.89591726576048458</v>
      </c>
      <c r="AE32" s="121">
        <f t="shared" si="26"/>
        <v>0.89571131045713492</v>
      </c>
      <c r="AF32" s="121">
        <f t="shared" si="26"/>
        <v>0.89192378657248406</v>
      </c>
      <c r="AG32" s="121">
        <f t="shared" si="26"/>
        <v>0.87855042064458155</v>
      </c>
      <c r="AH32" s="121">
        <f t="shared" si="26"/>
        <v>0.86014497627025666</v>
      </c>
      <c r="AI32" s="121">
        <f t="shared" si="26"/>
        <v>0.85027637745575513</v>
      </c>
      <c r="AJ32" s="121">
        <f t="shared" si="26"/>
        <v>0.83955524709735763</v>
      </c>
      <c r="AK32" s="121">
        <f t="shared" si="26"/>
        <v>0.82413808999719462</v>
      </c>
      <c r="AL32" s="121">
        <f t="shared" si="26"/>
        <v>0.81801048343347382</v>
      </c>
      <c r="AM32" s="121">
        <f t="shared" si="26"/>
        <v>0.81589263292744596</v>
      </c>
      <c r="AN32" s="121">
        <f t="shared" si="26"/>
        <v>0.79701782006760291</v>
      </c>
      <c r="AO32" s="121">
        <f t="shared" si="26"/>
        <v>0.78975590511067373</v>
      </c>
      <c r="AP32" s="121">
        <f>1-AP31</f>
        <v>0.78681922491170642</v>
      </c>
    </row>
    <row r="33" spans="2:42">
      <c r="B33" s="106" t="s">
        <v>48</v>
      </c>
      <c r="C33" s="37" t="s">
        <v>22</v>
      </c>
      <c r="D33" s="117">
        <f>D8/D7</f>
        <v>0.55819093068937842</v>
      </c>
      <c r="E33" s="118">
        <f t="shared" ref="E33:AO33" si="27">E8/E7</f>
        <v>0.55333102721651883</v>
      </c>
      <c r="F33" s="118">
        <f t="shared" si="27"/>
        <v>0.57269496466078351</v>
      </c>
      <c r="G33" s="118">
        <f t="shared" si="27"/>
        <v>0.59776759274679514</v>
      </c>
      <c r="H33" s="118">
        <f t="shared" si="27"/>
        <v>0.6293855309750358</v>
      </c>
      <c r="I33" s="118">
        <f t="shared" si="27"/>
        <v>0.64444431516002088</v>
      </c>
      <c r="J33" s="118">
        <f t="shared" si="27"/>
        <v>0.65290892950989765</v>
      </c>
      <c r="K33" s="118">
        <f t="shared" si="27"/>
        <v>0.66905643023467976</v>
      </c>
      <c r="L33" s="118">
        <f t="shared" si="27"/>
        <v>0.67167886906714913</v>
      </c>
      <c r="M33" s="118">
        <f t="shared" si="27"/>
        <v>0.66928786064440871</v>
      </c>
      <c r="N33" s="118">
        <f t="shared" si="27"/>
        <v>0.69181018774932235</v>
      </c>
      <c r="O33" s="118">
        <f t="shared" si="27"/>
        <v>0.69707866783319927</v>
      </c>
      <c r="P33" s="118">
        <f>P8/P7</f>
        <v>0.69691135395241244</v>
      </c>
      <c r="Q33" s="120">
        <f>Q8/Q7</f>
        <v>0.99446664818018127</v>
      </c>
      <c r="R33" s="120">
        <f t="shared" si="27"/>
        <v>0.99423739105691977</v>
      </c>
      <c r="S33" s="120">
        <f t="shared" si="27"/>
        <v>0.99497122573606456</v>
      </c>
      <c r="T33" s="120">
        <f t="shared" si="27"/>
        <v>0.99545681456298152</v>
      </c>
      <c r="U33" s="120">
        <f t="shared" si="27"/>
        <v>0.99601392798865152</v>
      </c>
      <c r="V33" s="120">
        <f t="shared" si="27"/>
        <v>0.99619487679683283</v>
      </c>
      <c r="W33" s="120">
        <f t="shared" si="27"/>
        <v>0.99632068028198362</v>
      </c>
      <c r="X33" s="120">
        <f t="shared" si="27"/>
        <v>0.99655254548212935</v>
      </c>
      <c r="Y33" s="120">
        <f t="shared" si="27"/>
        <v>0.99655990600752542</v>
      </c>
      <c r="Z33" s="120">
        <f t="shared" si="27"/>
        <v>0.99646422415516644</v>
      </c>
      <c r="AA33" s="120">
        <f t="shared" si="27"/>
        <v>0.9967055961572161</v>
      </c>
      <c r="AB33" s="120">
        <f t="shared" si="27"/>
        <v>0.99668445570968867</v>
      </c>
      <c r="AC33" s="120">
        <f>AC8/AC7</f>
        <v>0.99654307203265968</v>
      </c>
      <c r="AD33" s="121">
        <f>AD8/AD7</f>
        <v>0.87310318635905204</v>
      </c>
      <c r="AE33" s="121">
        <f t="shared" si="27"/>
        <v>0.86801440806447061</v>
      </c>
      <c r="AF33" s="121">
        <f t="shared" si="27"/>
        <v>0.86866960152353634</v>
      </c>
      <c r="AG33" s="121">
        <f t="shared" si="27"/>
        <v>0.87457342100998692</v>
      </c>
      <c r="AH33" s="121">
        <f t="shared" si="27"/>
        <v>0.88348586296236253</v>
      </c>
      <c r="AI33" s="121">
        <f t="shared" si="27"/>
        <v>0.88676034570978068</v>
      </c>
      <c r="AJ33" s="121">
        <f t="shared" si="27"/>
        <v>0.88758924557192109</v>
      </c>
      <c r="AK33" s="121">
        <f t="shared" si="27"/>
        <v>0.89077775554683281</v>
      </c>
      <c r="AL33" s="121">
        <f t="shared" si="27"/>
        <v>0.89040587336047383</v>
      </c>
      <c r="AM33" s="121">
        <f t="shared" si="27"/>
        <v>0.88794416476243132</v>
      </c>
      <c r="AN33" s="121">
        <f t="shared" si="27"/>
        <v>0.89352747825922885</v>
      </c>
      <c r="AO33" s="121">
        <f t="shared" si="27"/>
        <v>0.89296066541742336</v>
      </c>
      <c r="AP33" s="121">
        <f>AP8/AP7</f>
        <v>0.89040430889832944</v>
      </c>
    </row>
    <row r="34" spans="2:42">
      <c r="B34" s="106"/>
      <c r="C34" s="37" t="s">
        <v>40</v>
      </c>
      <c r="D34" s="117">
        <f>1-D33</f>
        <v>0.44180906931062158</v>
      </c>
      <c r="E34" s="118">
        <f t="shared" ref="E34:AO34" si="28">1-E33</f>
        <v>0.44666897278348117</v>
      </c>
      <c r="F34" s="118">
        <f t="shared" si="28"/>
        <v>0.42730503533921649</v>
      </c>
      <c r="G34" s="118">
        <f t="shared" si="28"/>
        <v>0.40223240725320486</v>
      </c>
      <c r="H34" s="118">
        <f t="shared" si="28"/>
        <v>0.3706144690249642</v>
      </c>
      <c r="I34" s="118">
        <f t="shared" si="28"/>
        <v>0.35555568483997912</v>
      </c>
      <c r="J34" s="118">
        <f t="shared" si="28"/>
        <v>0.34709107049010235</v>
      </c>
      <c r="K34" s="118">
        <f t="shared" si="28"/>
        <v>0.33094356976532024</v>
      </c>
      <c r="L34" s="118">
        <f t="shared" si="28"/>
        <v>0.32832113093285087</v>
      </c>
      <c r="M34" s="118">
        <f t="shared" si="28"/>
        <v>0.33071213935559129</v>
      </c>
      <c r="N34" s="118">
        <f t="shared" si="28"/>
        <v>0.30818981225067765</v>
      </c>
      <c r="O34" s="118">
        <f t="shared" si="28"/>
        <v>0.30292133216680073</v>
      </c>
      <c r="P34" s="118">
        <f>1-P33</f>
        <v>0.30308864604758756</v>
      </c>
      <c r="Q34" s="120">
        <f>1-Q33</f>
        <v>5.5333518198187326E-3</v>
      </c>
      <c r="R34" s="120">
        <f t="shared" si="28"/>
        <v>5.7626089430802274E-3</v>
      </c>
      <c r="S34" s="120">
        <f t="shared" si="28"/>
        <v>5.0287742639354427E-3</v>
      </c>
      <c r="T34" s="120">
        <f t="shared" si="28"/>
        <v>4.5431854370184821E-3</v>
      </c>
      <c r="U34" s="120">
        <f t="shared" si="28"/>
        <v>3.9860720113484849E-3</v>
      </c>
      <c r="V34" s="120">
        <f t="shared" si="28"/>
        <v>3.8051232031671711E-3</v>
      </c>
      <c r="W34" s="120">
        <f t="shared" si="28"/>
        <v>3.6793197180163828E-3</v>
      </c>
      <c r="X34" s="120">
        <f t="shared" si="28"/>
        <v>3.4474545178706517E-3</v>
      </c>
      <c r="Y34" s="120">
        <f t="shared" si="28"/>
        <v>3.4400939924745799E-3</v>
      </c>
      <c r="Z34" s="120">
        <f t="shared" si="28"/>
        <v>3.5357758448335552E-3</v>
      </c>
      <c r="AA34" s="120">
        <f t="shared" si="28"/>
        <v>3.2944038427838995E-3</v>
      </c>
      <c r="AB34" s="120">
        <f t="shared" si="28"/>
        <v>3.3155442903113341E-3</v>
      </c>
      <c r="AC34" s="120">
        <f>1-AC33</f>
        <v>3.4569279673403175E-3</v>
      </c>
      <c r="AD34" s="121">
        <f>1-AD33</f>
        <v>0.12689681364094796</v>
      </c>
      <c r="AE34" s="121">
        <f t="shared" si="28"/>
        <v>0.13198559193552939</v>
      </c>
      <c r="AF34" s="121">
        <f t="shared" si="28"/>
        <v>0.13133039847646366</v>
      </c>
      <c r="AG34" s="121">
        <f t="shared" si="28"/>
        <v>0.12542657899001308</v>
      </c>
      <c r="AH34" s="121">
        <f t="shared" si="28"/>
        <v>0.11651413703763747</v>
      </c>
      <c r="AI34" s="121">
        <f t="shared" si="28"/>
        <v>0.11323965429021932</v>
      </c>
      <c r="AJ34" s="121">
        <f t="shared" si="28"/>
        <v>0.11241075442807891</v>
      </c>
      <c r="AK34" s="121">
        <f t="shared" si="28"/>
        <v>0.10922224445316719</v>
      </c>
      <c r="AL34" s="121">
        <f t="shared" si="28"/>
        <v>0.10959412663952617</v>
      </c>
      <c r="AM34" s="121">
        <f t="shared" si="28"/>
        <v>0.11205583523756868</v>
      </c>
      <c r="AN34" s="121">
        <f t="shared" si="28"/>
        <v>0.10647252174077115</v>
      </c>
      <c r="AO34" s="121">
        <f t="shared" si="28"/>
        <v>0.10703933458257664</v>
      </c>
      <c r="AP34" s="121">
        <f>1-AP33</f>
        <v>0.10959569110167056</v>
      </c>
    </row>
    <row r="35" spans="2:42">
      <c r="B35" s="106" t="s">
        <v>23</v>
      </c>
      <c r="C35" s="37" t="s">
        <v>22</v>
      </c>
      <c r="D35" s="117">
        <f>D11/D10</f>
        <v>0.64073892499649299</v>
      </c>
      <c r="E35" s="118">
        <f t="shared" ref="E35:AO35" si="29">E11/E10</f>
        <v>0.60432024387513583</v>
      </c>
      <c r="F35" s="118">
        <f t="shared" si="29"/>
        <v>0.58021620406787278</v>
      </c>
      <c r="G35" s="118">
        <f t="shared" si="29"/>
        <v>0.57858628849786253</v>
      </c>
      <c r="H35" s="118">
        <f t="shared" si="29"/>
        <v>0.58876428906703182</v>
      </c>
      <c r="I35" s="118">
        <f t="shared" si="29"/>
        <v>0.59488510203111844</v>
      </c>
      <c r="J35" s="118">
        <f t="shared" si="29"/>
        <v>0.58595058708645298</v>
      </c>
      <c r="K35" s="118">
        <f t="shared" si="29"/>
        <v>0.58484497752520426</v>
      </c>
      <c r="L35" s="118">
        <f t="shared" si="29"/>
        <v>0.56868063179688033</v>
      </c>
      <c r="M35" s="118">
        <f t="shared" si="29"/>
        <v>0.55364137924481616</v>
      </c>
      <c r="N35" s="118">
        <f t="shared" si="29"/>
        <v>0.56983292767446969</v>
      </c>
      <c r="O35" s="118">
        <f t="shared" si="29"/>
        <v>0.55748981118064211</v>
      </c>
      <c r="P35" s="118">
        <f>P11/P10</f>
        <v>0.54907736823487308</v>
      </c>
      <c r="Q35" s="120">
        <f>Q11/Q10</f>
        <v>0.95672378602721853</v>
      </c>
      <c r="R35" s="120">
        <f t="shared" si="29"/>
        <v>0.95026562387287283</v>
      </c>
      <c r="S35" s="120">
        <f t="shared" si="29"/>
        <v>0.94952065796195639</v>
      </c>
      <c r="T35" s="120">
        <f t="shared" si="29"/>
        <v>0.95466685157515185</v>
      </c>
      <c r="U35" s="120">
        <f t="shared" si="29"/>
        <v>0.96252059768501019</v>
      </c>
      <c r="V35" s="120">
        <f t="shared" si="29"/>
        <v>0.96573356109388753</v>
      </c>
      <c r="W35" s="120">
        <f t="shared" si="29"/>
        <v>0.96875560042194564</v>
      </c>
      <c r="X35" s="120">
        <f t="shared" si="29"/>
        <v>0.97242659123055153</v>
      </c>
      <c r="Y35" s="120">
        <f t="shared" si="29"/>
        <v>0.97386882663966701</v>
      </c>
      <c r="Z35" s="120">
        <f t="shared" si="29"/>
        <v>0.97471069980113056</v>
      </c>
      <c r="AA35" s="120">
        <f t="shared" si="29"/>
        <v>0.97862446112086865</v>
      </c>
      <c r="AB35" s="120">
        <f t="shared" si="29"/>
        <v>0.97990321662396818</v>
      </c>
      <c r="AC35" s="120">
        <f>AC11/AC10</f>
        <v>0.98088207090786461</v>
      </c>
      <c r="AD35" s="121">
        <f>AD11/AD10</f>
        <v>0.69506620460651625</v>
      </c>
      <c r="AE35" s="121">
        <f t="shared" si="29"/>
        <v>0.66269241098562492</v>
      </c>
      <c r="AF35" s="121">
        <f t="shared" si="29"/>
        <v>0.64056384678096223</v>
      </c>
      <c r="AG35" s="121">
        <f t="shared" si="29"/>
        <v>0.63826533020835219</v>
      </c>
      <c r="AH35" s="121">
        <f t="shared" si="29"/>
        <v>0.64667480073608485</v>
      </c>
      <c r="AI35" s="121">
        <f t="shared" si="29"/>
        <v>0.65107154770996045</v>
      </c>
      <c r="AJ35" s="121">
        <f t="shared" si="29"/>
        <v>0.64241291472306405</v>
      </c>
      <c r="AK35" s="121">
        <f t="shared" si="29"/>
        <v>0.64076991450401422</v>
      </c>
      <c r="AL35" s="121">
        <f t="shared" si="29"/>
        <v>0.6263233906455854</v>
      </c>
      <c r="AM35" s="121">
        <f t="shared" si="29"/>
        <v>0.61276989276225324</v>
      </c>
      <c r="AN35" s="121">
        <f t="shared" si="29"/>
        <v>0.6266012977294354</v>
      </c>
      <c r="AO35" s="121">
        <f t="shared" si="29"/>
        <v>0.6157443602438144</v>
      </c>
      <c r="AP35" s="121">
        <f>AP11/AP10</f>
        <v>0.60848675382614859</v>
      </c>
    </row>
    <row r="36" spans="2:42">
      <c r="B36" s="106"/>
      <c r="C36" s="37" t="s">
        <v>40</v>
      </c>
      <c r="D36" s="117">
        <f>1-D35</f>
        <v>0.35926107500350701</v>
      </c>
      <c r="E36" s="118">
        <f t="shared" ref="E36:AO36" si="30">1-E35</f>
        <v>0.39567975612486417</v>
      </c>
      <c r="F36" s="118">
        <f t="shared" si="30"/>
        <v>0.41978379593212722</v>
      </c>
      <c r="G36" s="118">
        <f t="shared" si="30"/>
        <v>0.42141371150213747</v>
      </c>
      <c r="H36" s="118">
        <f t="shared" si="30"/>
        <v>0.41123571093296818</v>
      </c>
      <c r="I36" s="118">
        <f t="shared" si="30"/>
        <v>0.40511489796888156</v>
      </c>
      <c r="J36" s="118">
        <f t="shared" si="30"/>
        <v>0.41404941291354702</v>
      </c>
      <c r="K36" s="118">
        <f t="shared" si="30"/>
        <v>0.41515502247479574</v>
      </c>
      <c r="L36" s="118">
        <f t="shared" si="30"/>
        <v>0.43131936820311967</v>
      </c>
      <c r="M36" s="118">
        <f t="shared" si="30"/>
        <v>0.44635862075518384</v>
      </c>
      <c r="N36" s="118">
        <f t="shared" si="30"/>
        <v>0.43016707232553031</v>
      </c>
      <c r="O36" s="118">
        <f t="shared" si="30"/>
        <v>0.44251018881935789</v>
      </c>
      <c r="P36" s="118">
        <f>1-P35</f>
        <v>0.45092263176512692</v>
      </c>
      <c r="Q36" s="120">
        <f>1-Q35</f>
        <v>4.3276213972781474E-2</v>
      </c>
      <c r="R36" s="120">
        <f t="shared" si="30"/>
        <v>4.9734376127127167E-2</v>
      </c>
      <c r="S36" s="120">
        <f t="shared" si="30"/>
        <v>5.0479342038043606E-2</v>
      </c>
      <c r="T36" s="120">
        <f t="shared" si="30"/>
        <v>4.5333148424848146E-2</v>
      </c>
      <c r="U36" s="120">
        <f t="shared" si="30"/>
        <v>3.7479402314989807E-2</v>
      </c>
      <c r="V36" s="120">
        <f t="shared" si="30"/>
        <v>3.4266438906112473E-2</v>
      </c>
      <c r="W36" s="120">
        <f t="shared" si="30"/>
        <v>3.124439957805436E-2</v>
      </c>
      <c r="X36" s="120">
        <f t="shared" si="30"/>
        <v>2.7573408769448471E-2</v>
      </c>
      <c r="Y36" s="120">
        <f t="shared" si="30"/>
        <v>2.6131173360332993E-2</v>
      </c>
      <c r="Z36" s="120">
        <f t="shared" si="30"/>
        <v>2.5289300198869435E-2</v>
      </c>
      <c r="AA36" s="120">
        <f t="shared" si="30"/>
        <v>2.1375538879131351E-2</v>
      </c>
      <c r="AB36" s="120">
        <f t="shared" si="30"/>
        <v>2.0096783376031824E-2</v>
      </c>
      <c r="AC36" s="120">
        <f>1-AC35</f>
        <v>1.9117929092135388E-2</v>
      </c>
      <c r="AD36" s="121">
        <f>1-AD35</f>
        <v>0.30493379539348375</v>
      </c>
      <c r="AE36" s="121">
        <f t="shared" si="30"/>
        <v>0.33730758901437508</v>
      </c>
      <c r="AF36" s="121">
        <f t="shared" si="30"/>
        <v>0.35943615321903777</v>
      </c>
      <c r="AG36" s="121">
        <f t="shared" si="30"/>
        <v>0.36173466979164781</v>
      </c>
      <c r="AH36" s="121">
        <f t="shared" si="30"/>
        <v>0.35332519926391515</v>
      </c>
      <c r="AI36" s="121">
        <f t="shared" si="30"/>
        <v>0.34892845229003955</v>
      </c>
      <c r="AJ36" s="121">
        <f t="shared" si="30"/>
        <v>0.35758708527693595</v>
      </c>
      <c r="AK36" s="121">
        <f t="shared" si="30"/>
        <v>0.35923008549598578</v>
      </c>
      <c r="AL36" s="121">
        <f t="shared" si="30"/>
        <v>0.3736766093544146</v>
      </c>
      <c r="AM36" s="121">
        <f t="shared" si="30"/>
        <v>0.38723010723774676</v>
      </c>
      <c r="AN36" s="121">
        <f t="shared" si="30"/>
        <v>0.3733987022705646</v>
      </c>
      <c r="AO36" s="121">
        <f t="shared" si="30"/>
        <v>0.3842556397561856</v>
      </c>
      <c r="AP36" s="121">
        <f>1-AP35</f>
        <v>0.39151324617385141</v>
      </c>
    </row>
    <row r="37" spans="2:42">
      <c r="B37" s="106" t="s">
        <v>24</v>
      </c>
      <c r="C37" s="37" t="s">
        <v>22</v>
      </c>
      <c r="D37" s="117">
        <f>D14/D13</f>
        <v>0.56491975880085221</v>
      </c>
      <c r="E37" s="118">
        <f t="shared" ref="E37:AO37" si="31">E14/E13</f>
        <v>0.55043722717887877</v>
      </c>
      <c r="F37" s="118">
        <f t="shared" si="31"/>
        <v>0.53733356652966391</v>
      </c>
      <c r="G37" s="118">
        <f t="shared" si="31"/>
        <v>0.5535315888329837</v>
      </c>
      <c r="H37" s="118">
        <f t="shared" si="31"/>
        <v>0.56561546702378573</v>
      </c>
      <c r="I37" s="118">
        <f t="shared" si="31"/>
        <v>0.57069966143152473</v>
      </c>
      <c r="J37" s="118">
        <f t="shared" si="31"/>
        <v>0.56865169424976603</v>
      </c>
      <c r="K37" s="118">
        <f t="shared" si="31"/>
        <v>0.57165370015434369</v>
      </c>
      <c r="L37" s="118">
        <f t="shared" si="31"/>
        <v>0.55858755659544845</v>
      </c>
      <c r="M37" s="118">
        <f t="shared" si="31"/>
        <v>0.54645962247896329</v>
      </c>
      <c r="N37" s="118">
        <f t="shared" si="31"/>
        <v>0.56383933237112038</v>
      </c>
      <c r="O37" s="118">
        <f t="shared" si="31"/>
        <v>0.55610737690591772</v>
      </c>
      <c r="P37" s="118">
        <f>P14/P13</f>
        <v>0.54828276305281021</v>
      </c>
      <c r="Q37" s="120">
        <f>Q14/Q13</f>
        <v>0.98352925127828816</v>
      </c>
      <c r="R37" s="120">
        <f t="shared" si="31"/>
        <v>0.98205809976285097</v>
      </c>
      <c r="S37" s="120">
        <f t="shared" si="31"/>
        <v>0.98234377270927609</v>
      </c>
      <c r="T37" s="120">
        <f t="shared" si="31"/>
        <v>0.98538084531471226</v>
      </c>
      <c r="U37" s="120">
        <f t="shared" si="31"/>
        <v>0.98754692614234396</v>
      </c>
      <c r="V37" s="120">
        <f t="shared" si="31"/>
        <v>0.98869539326328892</v>
      </c>
      <c r="W37" s="120">
        <f t="shared" si="31"/>
        <v>0.98918459818795157</v>
      </c>
      <c r="X37" s="120">
        <f t="shared" si="31"/>
        <v>0.98996830843281636</v>
      </c>
      <c r="Y37" s="120">
        <f t="shared" si="31"/>
        <v>0.98965045991367651</v>
      </c>
      <c r="Z37" s="120">
        <f t="shared" si="31"/>
        <v>0.98960469471381141</v>
      </c>
      <c r="AA37" s="120">
        <f t="shared" si="31"/>
        <v>0.99122883651831395</v>
      </c>
      <c r="AB37" s="120">
        <f t="shared" si="31"/>
        <v>0.99129268505088808</v>
      </c>
      <c r="AC37" s="120">
        <f>AC14/AC13</f>
        <v>0.99139341294751548</v>
      </c>
      <c r="AD37" s="121">
        <f>AD14/AD13</f>
        <v>0.69469740056144957</v>
      </c>
      <c r="AE37" s="121">
        <f t="shared" si="31"/>
        <v>0.68502062772039274</v>
      </c>
      <c r="AF37" s="121">
        <f t="shared" si="31"/>
        <v>0.67516173701701598</v>
      </c>
      <c r="AG37" s="121">
        <f t="shared" si="31"/>
        <v>0.68809784515741723</v>
      </c>
      <c r="AH37" s="121">
        <f t="shared" si="31"/>
        <v>0.69727243155541718</v>
      </c>
      <c r="AI37" s="121">
        <f t="shared" si="31"/>
        <v>0.70117052586354378</v>
      </c>
      <c r="AJ37" s="121">
        <f t="shared" si="31"/>
        <v>0.70003909312081336</v>
      </c>
      <c r="AK37" s="121">
        <f t="shared" si="31"/>
        <v>0.70229441911761803</v>
      </c>
      <c r="AL37" s="121">
        <f t="shared" si="31"/>
        <v>0.69308550119848356</v>
      </c>
      <c r="AM37" s="121">
        <f t="shared" si="31"/>
        <v>0.68458810362579314</v>
      </c>
      <c r="AN37" s="121">
        <f t="shared" si="31"/>
        <v>0.6968482772785709</v>
      </c>
      <c r="AO37" s="121">
        <f t="shared" si="31"/>
        <v>0.69133572569097601</v>
      </c>
      <c r="AP37" s="121">
        <f>AP14/AP13</f>
        <v>0.68573640864781915</v>
      </c>
    </row>
    <row r="38" spans="2:42">
      <c r="B38" s="106"/>
      <c r="C38" s="37" t="s">
        <v>40</v>
      </c>
      <c r="D38" s="117">
        <f>1-D37</f>
        <v>0.43508024119914779</v>
      </c>
      <c r="E38" s="118">
        <f t="shared" ref="E38:AO38" si="32">1-E37</f>
        <v>0.44956277282112123</v>
      </c>
      <c r="F38" s="118">
        <f t="shared" si="32"/>
        <v>0.46266643347033609</v>
      </c>
      <c r="G38" s="118">
        <f t="shared" si="32"/>
        <v>0.4464684111670163</v>
      </c>
      <c r="H38" s="118">
        <f t="shared" si="32"/>
        <v>0.43438453297621427</v>
      </c>
      <c r="I38" s="118">
        <f t="shared" si="32"/>
        <v>0.42930033856847527</v>
      </c>
      <c r="J38" s="118">
        <f t="shared" si="32"/>
        <v>0.43134830575023397</v>
      </c>
      <c r="K38" s="118">
        <f t="shared" si="32"/>
        <v>0.42834629984565631</v>
      </c>
      <c r="L38" s="118">
        <f t="shared" si="32"/>
        <v>0.44141244340455155</v>
      </c>
      <c r="M38" s="118">
        <f t="shared" si="32"/>
        <v>0.45354037752103671</v>
      </c>
      <c r="N38" s="118">
        <f t="shared" si="32"/>
        <v>0.43616066762887962</v>
      </c>
      <c r="O38" s="118">
        <f t="shared" si="32"/>
        <v>0.44389262309408228</v>
      </c>
      <c r="P38" s="118">
        <f>1-P37</f>
        <v>0.45171723694718979</v>
      </c>
      <c r="Q38" s="120">
        <f>1-Q37</f>
        <v>1.6470748721711836E-2</v>
      </c>
      <c r="R38" s="120">
        <f t="shared" si="32"/>
        <v>1.7941900237149033E-2</v>
      </c>
      <c r="S38" s="120">
        <f t="shared" si="32"/>
        <v>1.7656227290723914E-2</v>
      </c>
      <c r="T38" s="120">
        <f t="shared" si="32"/>
        <v>1.4619154685287739E-2</v>
      </c>
      <c r="U38" s="120">
        <f t="shared" si="32"/>
        <v>1.2453073857656038E-2</v>
      </c>
      <c r="V38" s="120">
        <f t="shared" si="32"/>
        <v>1.1304606736711076E-2</v>
      </c>
      <c r="W38" s="120">
        <f t="shared" si="32"/>
        <v>1.0815401812048431E-2</v>
      </c>
      <c r="X38" s="120">
        <f t="shared" si="32"/>
        <v>1.0031691567183643E-2</v>
      </c>
      <c r="Y38" s="120">
        <f t="shared" si="32"/>
        <v>1.0349540086323494E-2</v>
      </c>
      <c r="Z38" s="120">
        <f t="shared" si="32"/>
        <v>1.0395305286188594E-2</v>
      </c>
      <c r="AA38" s="120">
        <f t="shared" si="32"/>
        <v>8.7711634816860506E-3</v>
      </c>
      <c r="AB38" s="120">
        <f t="shared" si="32"/>
        <v>8.7073149491119217E-3</v>
      </c>
      <c r="AC38" s="120">
        <f>1-AC37</f>
        <v>8.6065870524845156E-3</v>
      </c>
      <c r="AD38" s="121">
        <f>1-AD37</f>
        <v>0.30530259943855043</v>
      </c>
      <c r="AE38" s="121">
        <f t="shared" si="32"/>
        <v>0.31497937227960726</v>
      </c>
      <c r="AF38" s="121">
        <f t="shared" si="32"/>
        <v>0.32483826298298402</v>
      </c>
      <c r="AG38" s="121">
        <f t="shared" si="32"/>
        <v>0.31190215484258277</v>
      </c>
      <c r="AH38" s="121">
        <f t="shared" si="32"/>
        <v>0.30272756844458282</v>
      </c>
      <c r="AI38" s="121">
        <f t="shared" si="32"/>
        <v>0.29882947413645622</v>
      </c>
      <c r="AJ38" s="121">
        <f t="shared" si="32"/>
        <v>0.29996090687918664</v>
      </c>
      <c r="AK38" s="121">
        <f t="shared" si="32"/>
        <v>0.29770558088238197</v>
      </c>
      <c r="AL38" s="121">
        <f t="shared" si="32"/>
        <v>0.30691449880151644</v>
      </c>
      <c r="AM38" s="121">
        <f t="shared" si="32"/>
        <v>0.31541189637420686</v>
      </c>
      <c r="AN38" s="121">
        <f t="shared" si="32"/>
        <v>0.3031517227214291</v>
      </c>
      <c r="AO38" s="121">
        <f t="shared" si="32"/>
        <v>0.30866427430902399</v>
      </c>
      <c r="AP38" s="121">
        <f>1-AP37</f>
        <v>0.31426359135218085</v>
      </c>
    </row>
    <row r="39" spans="2:42">
      <c r="B39" s="106" t="s">
        <v>49</v>
      </c>
      <c r="C39" s="37" t="s">
        <v>22</v>
      </c>
      <c r="D39" s="117">
        <f>D17/D16</f>
        <v>0.21374221756950462</v>
      </c>
      <c r="E39" s="118">
        <f t="shared" ref="E39:AO39" si="33">E17/E16</f>
        <v>0.18791857210244298</v>
      </c>
      <c r="F39" s="118">
        <f t="shared" si="33"/>
        <v>0.21306100133358455</v>
      </c>
      <c r="G39" s="118">
        <f t="shared" si="33"/>
        <v>0.23096860539188352</v>
      </c>
      <c r="H39" s="118">
        <f t="shared" si="33"/>
        <v>0.26384718173747163</v>
      </c>
      <c r="I39" s="118">
        <f t="shared" si="33"/>
        <v>0.2762290955825395</v>
      </c>
      <c r="J39" s="118">
        <f t="shared" si="33"/>
        <v>0.28422073151334443</v>
      </c>
      <c r="K39" s="118">
        <f t="shared" si="33"/>
        <v>0.31193690348562875</v>
      </c>
      <c r="L39" s="118">
        <f t="shared" si="33"/>
        <v>0.31527507696492868</v>
      </c>
      <c r="M39" s="118">
        <f t="shared" si="33"/>
        <v>0.31320264400612258</v>
      </c>
      <c r="N39" s="118">
        <f t="shared" si="33"/>
        <v>0.36243310879872115</v>
      </c>
      <c r="O39" s="118">
        <f t="shared" si="33"/>
        <v>0.3648937781388113</v>
      </c>
      <c r="P39" s="118">
        <f>P17/P16</f>
        <v>0.36632955591190058</v>
      </c>
      <c r="Q39" s="120">
        <f>Q17/Q16</f>
        <v>0.87542669067268453</v>
      </c>
      <c r="R39" s="120">
        <f t="shared" si="33"/>
        <v>0.90873062694771611</v>
      </c>
      <c r="S39" s="120">
        <f t="shared" si="33"/>
        <v>0.92856477195772791</v>
      </c>
      <c r="T39" s="120">
        <f t="shared" si="33"/>
        <v>0.95329798298844404</v>
      </c>
      <c r="U39" s="120">
        <f t="shared" si="33"/>
        <v>0.97378117195700165</v>
      </c>
      <c r="V39" s="120">
        <f t="shared" si="33"/>
        <v>0.9838064867387416</v>
      </c>
      <c r="W39" s="120">
        <f t="shared" si="33"/>
        <v>0.99107796162107298</v>
      </c>
      <c r="X39" s="120">
        <f t="shared" si="33"/>
        <v>0.99407967224817284</v>
      </c>
      <c r="Y39" s="120">
        <f t="shared" si="33"/>
        <v>0.99562321855539193</v>
      </c>
      <c r="Z39" s="120">
        <f t="shared" si="33"/>
        <v>0.99622185083789083</v>
      </c>
      <c r="AA39" s="120">
        <f t="shared" si="33"/>
        <v>0.99715430837711694</v>
      </c>
      <c r="AB39" s="120">
        <f t="shared" si="33"/>
        <v>0.99754874413277461</v>
      </c>
      <c r="AC39" s="120">
        <f>AC17/AC16</f>
        <v>0.99791379336098351</v>
      </c>
      <c r="AD39" s="121">
        <f>AD17/AD16</f>
        <v>0.29872566345754425</v>
      </c>
      <c r="AE39" s="121">
        <f t="shared" si="33"/>
        <v>0.27402062060800614</v>
      </c>
      <c r="AF39" s="121">
        <f t="shared" si="33"/>
        <v>0.28910523410448136</v>
      </c>
      <c r="AG39" s="121">
        <f t="shared" si="33"/>
        <v>0.30092324234802653</v>
      </c>
      <c r="AH39" s="121">
        <f t="shared" si="33"/>
        <v>0.3263243794887607</v>
      </c>
      <c r="AI39" s="121">
        <f t="shared" si="33"/>
        <v>0.3420528438078162</v>
      </c>
      <c r="AJ39" s="121">
        <f t="shared" si="33"/>
        <v>0.35252366290340975</v>
      </c>
      <c r="AK39" s="121">
        <f t="shared" si="33"/>
        <v>0.38284544983065971</v>
      </c>
      <c r="AL39" s="121">
        <f t="shared" si="33"/>
        <v>0.38658252813447064</v>
      </c>
      <c r="AM39" s="121">
        <f t="shared" si="33"/>
        <v>0.38603534917521132</v>
      </c>
      <c r="AN39" s="121">
        <f t="shared" si="33"/>
        <v>0.43286012848056832</v>
      </c>
      <c r="AO39" s="121">
        <f t="shared" si="33"/>
        <v>0.4369949184580561</v>
      </c>
      <c r="AP39" s="121">
        <f>AP17/AP16</f>
        <v>0.4413589958950942</v>
      </c>
    </row>
    <row r="40" spans="2:42">
      <c r="B40" s="106"/>
      <c r="C40" s="37" t="s">
        <v>40</v>
      </c>
      <c r="D40" s="117">
        <f>1-D39</f>
        <v>0.78625778243049538</v>
      </c>
      <c r="E40" s="118">
        <f t="shared" ref="E40:AO40" si="34">1-E39</f>
        <v>0.812081427897557</v>
      </c>
      <c r="F40" s="118">
        <f t="shared" si="34"/>
        <v>0.78693899866641548</v>
      </c>
      <c r="G40" s="118">
        <f t="shared" si="34"/>
        <v>0.76903139460811643</v>
      </c>
      <c r="H40" s="118">
        <f t="shared" si="34"/>
        <v>0.73615281826252832</v>
      </c>
      <c r="I40" s="118">
        <f t="shared" si="34"/>
        <v>0.7237709044174605</v>
      </c>
      <c r="J40" s="118">
        <f t="shared" si="34"/>
        <v>0.71577926848665552</v>
      </c>
      <c r="K40" s="118">
        <f t="shared" si="34"/>
        <v>0.68806309651437125</v>
      </c>
      <c r="L40" s="118">
        <f t="shared" si="34"/>
        <v>0.68472492303507138</v>
      </c>
      <c r="M40" s="118">
        <f t="shared" si="34"/>
        <v>0.68679735599387737</v>
      </c>
      <c r="N40" s="118">
        <f t="shared" si="34"/>
        <v>0.63756689120127885</v>
      </c>
      <c r="O40" s="118">
        <f t="shared" si="34"/>
        <v>0.6351062218611887</v>
      </c>
      <c r="P40" s="118">
        <f>1-P39</f>
        <v>0.63367044408809936</v>
      </c>
      <c r="Q40" s="120">
        <f>1-Q39</f>
        <v>0.12457330932731547</v>
      </c>
      <c r="R40" s="120">
        <f t="shared" si="34"/>
        <v>9.1269373052283886E-2</v>
      </c>
      <c r="S40" s="120">
        <f t="shared" si="34"/>
        <v>7.1435228042272092E-2</v>
      </c>
      <c r="T40" s="120">
        <f t="shared" si="34"/>
        <v>4.6702017011555963E-2</v>
      </c>
      <c r="U40" s="120">
        <f t="shared" si="34"/>
        <v>2.6218828042998354E-2</v>
      </c>
      <c r="V40" s="120">
        <f t="shared" si="34"/>
        <v>1.6193513261258397E-2</v>
      </c>
      <c r="W40" s="120">
        <f t="shared" si="34"/>
        <v>8.9220383789270219E-3</v>
      </c>
      <c r="X40" s="120">
        <f t="shared" si="34"/>
        <v>5.9203277518271591E-3</v>
      </c>
      <c r="Y40" s="120">
        <f t="shared" si="34"/>
        <v>4.3767814446080688E-3</v>
      </c>
      <c r="Z40" s="120">
        <f t="shared" si="34"/>
        <v>3.7781491621091678E-3</v>
      </c>
      <c r="AA40" s="120">
        <f t="shared" si="34"/>
        <v>2.845691622883062E-3</v>
      </c>
      <c r="AB40" s="120">
        <f t="shared" si="34"/>
        <v>2.4512558672253881E-3</v>
      </c>
      <c r="AC40" s="120">
        <f>1-AC39</f>
        <v>2.0862066390164857E-3</v>
      </c>
      <c r="AD40" s="121">
        <f>1-AD39</f>
        <v>0.70127433654245575</v>
      </c>
      <c r="AE40" s="121">
        <f t="shared" si="34"/>
        <v>0.72597937939199386</v>
      </c>
      <c r="AF40" s="121">
        <f t="shared" si="34"/>
        <v>0.7108947658955187</v>
      </c>
      <c r="AG40" s="121">
        <f t="shared" si="34"/>
        <v>0.69907675765197341</v>
      </c>
      <c r="AH40" s="121">
        <f t="shared" si="34"/>
        <v>0.6736756205112393</v>
      </c>
      <c r="AI40" s="121">
        <f t="shared" si="34"/>
        <v>0.6579471561921838</v>
      </c>
      <c r="AJ40" s="121">
        <f t="shared" si="34"/>
        <v>0.64747633709659025</v>
      </c>
      <c r="AK40" s="121">
        <f t="shared" si="34"/>
        <v>0.61715455016934029</v>
      </c>
      <c r="AL40" s="121">
        <f t="shared" si="34"/>
        <v>0.61341747186552942</v>
      </c>
      <c r="AM40" s="121">
        <f t="shared" si="34"/>
        <v>0.61396465082478868</v>
      </c>
      <c r="AN40" s="121">
        <f t="shared" si="34"/>
        <v>0.56713987151943168</v>
      </c>
      <c r="AO40" s="121">
        <f t="shared" si="34"/>
        <v>0.56300508154194384</v>
      </c>
      <c r="AP40" s="121">
        <f>1-AP39</f>
        <v>0.5586410041049058</v>
      </c>
    </row>
    <row r="41" spans="2:42">
      <c r="B41" s="106" t="s">
        <v>50</v>
      </c>
      <c r="C41" s="37" t="s">
        <v>22</v>
      </c>
      <c r="D41" s="117">
        <f>D20/D19</f>
        <v>0.65851894431099667</v>
      </c>
      <c r="E41" s="118">
        <f t="shared" ref="E41:AO41" si="35">E20/E19</f>
        <v>0.64659747033904691</v>
      </c>
      <c r="F41" s="118">
        <f t="shared" si="35"/>
        <v>0.64635429735630856</v>
      </c>
      <c r="G41" s="118">
        <f t="shared" si="35"/>
        <v>0.66339975961895148</v>
      </c>
      <c r="H41" s="118">
        <f t="shared" si="35"/>
        <v>0.68908692658198167</v>
      </c>
      <c r="I41" s="118">
        <f t="shared" si="35"/>
        <v>0.69369851714919306</v>
      </c>
      <c r="J41" s="118">
        <f t="shared" si="35"/>
        <v>0.69665123160417963</v>
      </c>
      <c r="K41" s="118">
        <f t="shared" si="35"/>
        <v>0.70337344519983802</v>
      </c>
      <c r="L41" s="118">
        <f t="shared" si="35"/>
        <v>0.70130909584209455</v>
      </c>
      <c r="M41" s="118">
        <f t="shared" si="35"/>
        <v>0.69424957153350197</v>
      </c>
      <c r="N41" s="118">
        <f t="shared" si="35"/>
        <v>0.71434907892087784</v>
      </c>
      <c r="O41" s="118">
        <f t="shared" si="35"/>
        <v>0.71202351859032742</v>
      </c>
      <c r="P41" s="118">
        <f>P20/P19</f>
        <v>0.71064841465380268</v>
      </c>
      <c r="Q41" s="120">
        <f>Q20/Q19</f>
        <v>0.94772493005448377</v>
      </c>
      <c r="R41" s="120">
        <f t="shared" si="35"/>
        <v>0.94966974900924706</v>
      </c>
      <c r="S41" s="120">
        <f t="shared" si="35"/>
        <v>0.95479419462288828</v>
      </c>
      <c r="T41" s="120">
        <f t="shared" si="35"/>
        <v>0.96466468590831911</v>
      </c>
      <c r="U41" s="120">
        <f t="shared" si="35"/>
        <v>0.97773352643012301</v>
      </c>
      <c r="V41" s="120">
        <f t="shared" si="35"/>
        <v>0.98297942658844917</v>
      </c>
      <c r="W41" s="120">
        <f t="shared" si="35"/>
        <v>0.98618242222893382</v>
      </c>
      <c r="X41" s="120">
        <f t="shared" si="35"/>
        <v>0.9894678492239467</v>
      </c>
      <c r="Y41" s="120">
        <f t="shared" si="35"/>
        <v>0.99083098230315458</v>
      </c>
      <c r="Z41" s="120">
        <f t="shared" si="35"/>
        <v>0.99164939295232446</v>
      </c>
      <c r="AA41" s="120">
        <f t="shared" si="35"/>
        <v>0.9931769013146946</v>
      </c>
      <c r="AB41" s="120">
        <f t="shared" si="35"/>
        <v>0.99384949348769902</v>
      </c>
      <c r="AC41" s="120">
        <f>AC20/AC19</f>
        <v>0.99438229690782087</v>
      </c>
      <c r="AD41" s="121">
        <f>AD20/AD19</f>
        <v>0.66580699267483534</v>
      </c>
      <c r="AE41" s="121">
        <f t="shared" si="35"/>
        <v>0.65500436053968103</v>
      </c>
      <c r="AF41" s="121">
        <f t="shared" si="35"/>
        <v>0.65576812057265477</v>
      </c>
      <c r="AG41" s="121">
        <f t="shared" si="35"/>
        <v>0.67357596524681362</v>
      </c>
      <c r="AH41" s="121">
        <f t="shared" si="35"/>
        <v>0.70031331408857289</v>
      </c>
      <c r="AI41" s="121">
        <f t="shared" si="35"/>
        <v>0.70583301563095702</v>
      </c>
      <c r="AJ41" s="121">
        <f t="shared" si="35"/>
        <v>0.70967522807398897</v>
      </c>
      <c r="AK41" s="121">
        <f t="shared" si="35"/>
        <v>0.71709240972342203</v>
      </c>
      <c r="AL41" s="121">
        <f t="shared" si="35"/>
        <v>0.7158534542737135</v>
      </c>
      <c r="AM41" s="121">
        <f t="shared" si="35"/>
        <v>0.70978620710992857</v>
      </c>
      <c r="AN41" s="121">
        <f t="shared" si="35"/>
        <v>0.72931247488203854</v>
      </c>
      <c r="AO41" s="121">
        <f t="shared" si="35"/>
        <v>0.72751341539283176</v>
      </c>
      <c r="AP41" s="121">
        <f>AP20/AP19</f>
        <v>0.72643604428341157</v>
      </c>
    </row>
    <row r="42" spans="2:42">
      <c r="B42" s="106"/>
      <c r="C42" s="37" t="s">
        <v>40</v>
      </c>
      <c r="D42" s="117">
        <f>1-D41</f>
        <v>0.34148105568900333</v>
      </c>
      <c r="E42" s="118">
        <f t="shared" ref="E42:AO42" si="36">1-E41</f>
        <v>0.35340252966095309</v>
      </c>
      <c r="F42" s="118">
        <f t="shared" si="36"/>
        <v>0.35364570264369144</v>
      </c>
      <c r="G42" s="118">
        <f t="shared" si="36"/>
        <v>0.33660024038104852</v>
      </c>
      <c r="H42" s="118">
        <f t="shared" si="36"/>
        <v>0.31091307341801833</v>
      </c>
      <c r="I42" s="118">
        <f t="shared" si="36"/>
        <v>0.30630148285080694</v>
      </c>
      <c r="J42" s="118">
        <f t="shared" si="36"/>
        <v>0.30334876839582037</v>
      </c>
      <c r="K42" s="118">
        <f t="shared" si="36"/>
        <v>0.29662655480016198</v>
      </c>
      <c r="L42" s="118">
        <f t="shared" si="36"/>
        <v>0.29869090415790545</v>
      </c>
      <c r="M42" s="118">
        <f t="shared" si="36"/>
        <v>0.30575042846649803</v>
      </c>
      <c r="N42" s="118">
        <f t="shared" si="36"/>
        <v>0.28565092107912216</v>
      </c>
      <c r="O42" s="118">
        <f t="shared" si="36"/>
        <v>0.28797648140967258</v>
      </c>
      <c r="P42" s="118">
        <f>1-P41</f>
        <v>0.28935158534619732</v>
      </c>
      <c r="Q42" s="120">
        <f>1-Q41</f>
        <v>5.2275069945516228E-2</v>
      </c>
      <c r="R42" s="120">
        <f t="shared" si="36"/>
        <v>5.0330250990752945E-2</v>
      </c>
      <c r="S42" s="120">
        <f t="shared" si="36"/>
        <v>4.5205805377111719E-2</v>
      </c>
      <c r="T42" s="120">
        <f t="shared" si="36"/>
        <v>3.5335314091680892E-2</v>
      </c>
      <c r="U42" s="120">
        <f t="shared" si="36"/>
        <v>2.2266473569876988E-2</v>
      </c>
      <c r="V42" s="120">
        <f t="shared" si="36"/>
        <v>1.7020573411550832E-2</v>
      </c>
      <c r="W42" s="120">
        <f t="shared" si="36"/>
        <v>1.3817577771066181E-2</v>
      </c>
      <c r="X42" s="120">
        <f t="shared" si="36"/>
        <v>1.0532150776053295E-2</v>
      </c>
      <c r="Y42" s="120">
        <f t="shared" si="36"/>
        <v>9.1690176968454162E-3</v>
      </c>
      <c r="Z42" s="120">
        <f t="shared" si="36"/>
        <v>8.3506070476755401E-3</v>
      </c>
      <c r="AA42" s="120">
        <f t="shared" si="36"/>
        <v>6.8230986853053954E-3</v>
      </c>
      <c r="AB42" s="120">
        <f t="shared" si="36"/>
        <v>6.1505065123009794E-3</v>
      </c>
      <c r="AC42" s="120">
        <f>1-AC41</f>
        <v>5.6177030921791271E-3</v>
      </c>
      <c r="AD42" s="121">
        <f>1-AD41</f>
        <v>0.33419300732516466</v>
      </c>
      <c r="AE42" s="121">
        <f t="shared" si="36"/>
        <v>0.34499563946031897</v>
      </c>
      <c r="AF42" s="121">
        <f t="shared" si="36"/>
        <v>0.34423187942734523</v>
      </c>
      <c r="AG42" s="121">
        <f t="shared" si="36"/>
        <v>0.32642403475318638</v>
      </c>
      <c r="AH42" s="121">
        <f t="shared" si="36"/>
        <v>0.29968668591142711</v>
      </c>
      <c r="AI42" s="121">
        <f t="shared" si="36"/>
        <v>0.29416698436904298</v>
      </c>
      <c r="AJ42" s="121">
        <f t="shared" si="36"/>
        <v>0.29032477192601103</v>
      </c>
      <c r="AK42" s="121">
        <f t="shared" si="36"/>
        <v>0.28290759027657797</v>
      </c>
      <c r="AL42" s="121">
        <f t="shared" si="36"/>
        <v>0.2841465457262865</v>
      </c>
      <c r="AM42" s="121">
        <f t="shared" si="36"/>
        <v>0.29021379289007143</v>
      </c>
      <c r="AN42" s="121">
        <f t="shared" si="36"/>
        <v>0.27068752511796146</v>
      </c>
      <c r="AO42" s="121">
        <f t="shared" si="36"/>
        <v>0.27248658460716824</v>
      </c>
      <c r="AP42" s="121">
        <f>1-AP41</f>
        <v>0.27356395571658843</v>
      </c>
    </row>
    <row r="43" spans="2:42" ht="17.25" customHeight="1">
      <c r="B43" s="106" t="s">
        <v>25</v>
      </c>
      <c r="C43" s="37" t="s">
        <v>22</v>
      </c>
      <c r="D43" s="117">
        <f>D23/D22</f>
        <v>0.52633122813879174</v>
      </c>
      <c r="E43" s="118">
        <f t="shared" ref="E43:AO43" si="37">E23/E22</f>
        <v>0.76995789703912298</v>
      </c>
      <c r="F43" s="118">
        <f t="shared" si="37"/>
        <v>0.81278714184263545</v>
      </c>
      <c r="G43" s="118">
        <f t="shared" si="37"/>
        <v>0.82745736658270608</v>
      </c>
      <c r="H43" s="118">
        <f t="shared" si="37"/>
        <v>0.83674146296310581</v>
      </c>
      <c r="I43" s="118">
        <f t="shared" si="37"/>
        <v>0.81584548501041576</v>
      </c>
      <c r="J43" s="118">
        <f t="shared" si="37"/>
        <v>0.79506356975296122</v>
      </c>
      <c r="K43" s="118">
        <f t="shared" si="37"/>
        <v>0.77818867329646224</v>
      </c>
      <c r="L43" s="118">
        <f t="shared" si="37"/>
        <v>0.76300276050669491</v>
      </c>
      <c r="M43" s="118">
        <f t="shared" si="37"/>
        <v>0.70693160001505784</v>
      </c>
      <c r="N43" s="118">
        <f t="shared" si="37"/>
        <v>0.74393596329949807</v>
      </c>
      <c r="O43" s="118">
        <f t="shared" si="37"/>
        <v>0.79077803332024454</v>
      </c>
      <c r="P43" s="118">
        <f>P23/P22</f>
        <v>0.74536186973268914</v>
      </c>
      <c r="Q43" s="120">
        <f>Q23/Q22</f>
        <v>0.97507275233573287</v>
      </c>
      <c r="R43" s="120">
        <f t="shared" si="37"/>
        <v>0.98235241018234343</v>
      </c>
      <c r="S43" s="120">
        <f t="shared" si="37"/>
        <v>0.98064187468160979</v>
      </c>
      <c r="T43" s="120">
        <f t="shared" si="37"/>
        <v>0.97640181857544928</v>
      </c>
      <c r="U43" s="120">
        <f t="shared" si="37"/>
        <v>0.97995469988674977</v>
      </c>
      <c r="V43" s="120">
        <f t="shared" si="37"/>
        <v>0.97770894071914494</v>
      </c>
      <c r="W43" s="120">
        <f t="shared" si="37"/>
        <v>0.98231349981521576</v>
      </c>
      <c r="X43" s="120">
        <f t="shared" si="37"/>
        <v>0.98372773964383442</v>
      </c>
      <c r="Y43" s="120">
        <f t="shared" si="37"/>
        <v>0.98155374246186589</v>
      </c>
      <c r="Z43" s="120">
        <f t="shared" si="37"/>
        <v>0.98006205470006891</v>
      </c>
      <c r="AA43" s="120">
        <f t="shared" si="37"/>
        <v>0.98475310424487417</v>
      </c>
      <c r="AB43" s="120">
        <f t="shared" si="37"/>
        <v>0.98752565071822007</v>
      </c>
      <c r="AC43" s="120">
        <f>AC23/AC22</f>
        <v>0.99143282840817137</v>
      </c>
      <c r="AD43" s="121">
        <f>AD23/AD22</f>
        <v>0.57300041813511737</v>
      </c>
      <c r="AE43" s="121">
        <f t="shared" si="37"/>
        <v>0.79789153765789722</v>
      </c>
      <c r="AF43" s="121">
        <f t="shared" si="37"/>
        <v>0.83549824238208914</v>
      </c>
      <c r="AG43" s="121">
        <f t="shared" si="37"/>
        <v>0.84581718227731562</v>
      </c>
      <c r="AH43" s="121">
        <f t="shared" si="37"/>
        <v>0.85391137874148859</v>
      </c>
      <c r="AI43" s="121">
        <f t="shared" si="37"/>
        <v>0.83373613684577996</v>
      </c>
      <c r="AJ43" s="121">
        <f t="shared" si="37"/>
        <v>0.81764582285412313</v>
      </c>
      <c r="AK43" s="121">
        <f t="shared" si="37"/>
        <v>0.80292936588184327</v>
      </c>
      <c r="AL43" s="121">
        <f t="shared" si="37"/>
        <v>0.78767801255313918</v>
      </c>
      <c r="AM43" s="121">
        <f t="shared" si="37"/>
        <v>0.73381978618700161</v>
      </c>
      <c r="AN43" s="121">
        <f t="shared" si="37"/>
        <v>0.76629770255486196</v>
      </c>
      <c r="AO43" s="121">
        <f t="shared" si="37"/>
        <v>0.80929223326625599</v>
      </c>
      <c r="AP43" s="121">
        <f>AP23/AP22</f>
        <v>0.76636132935635037</v>
      </c>
    </row>
    <row r="44" spans="2:42" ht="17.25" customHeight="1">
      <c r="B44" s="106"/>
      <c r="C44" s="37" t="s">
        <v>40</v>
      </c>
      <c r="D44" s="117">
        <f>1-D43</f>
        <v>0.47366877186120826</v>
      </c>
      <c r="E44" s="118">
        <f t="shared" ref="E44:AO44" si="38">1-E43</f>
        <v>0.23004210296087702</v>
      </c>
      <c r="F44" s="118">
        <f t="shared" si="38"/>
        <v>0.18721285815736455</v>
      </c>
      <c r="G44" s="118">
        <f t="shared" si="38"/>
        <v>0.17254263341729392</v>
      </c>
      <c r="H44" s="118">
        <f t="shared" si="38"/>
        <v>0.16325853703689419</v>
      </c>
      <c r="I44" s="118">
        <f t="shared" si="38"/>
        <v>0.18415451498958424</v>
      </c>
      <c r="J44" s="118">
        <f t="shared" si="38"/>
        <v>0.20493643024703878</v>
      </c>
      <c r="K44" s="118">
        <f t="shared" si="38"/>
        <v>0.22181132670353776</v>
      </c>
      <c r="L44" s="118">
        <f t="shared" si="38"/>
        <v>0.23699723949330509</v>
      </c>
      <c r="M44" s="118">
        <f t="shared" si="38"/>
        <v>0.29306839998494216</v>
      </c>
      <c r="N44" s="118">
        <f t="shared" si="38"/>
        <v>0.25606403670050193</v>
      </c>
      <c r="O44" s="118">
        <f t="shared" si="38"/>
        <v>0.20922196667975546</v>
      </c>
      <c r="P44" s="118">
        <f>1-P43</f>
        <v>0.25463813026731086</v>
      </c>
      <c r="Q44" s="120">
        <f>1-Q43</f>
        <v>2.4927247664267127E-2</v>
      </c>
      <c r="R44" s="120">
        <f t="shared" si="38"/>
        <v>1.7647589817656573E-2</v>
      </c>
      <c r="S44" s="120">
        <f t="shared" si="38"/>
        <v>1.9358125318390207E-2</v>
      </c>
      <c r="T44" s="120">
        <f t="shared" si="38"/>
        <v>2.3598181424550724E-2</v>
      </c>
      <c r="U44" s="120">
        <f t="shared" si="38"/>
        <v>2.0045300113250231E-2</v>
      </c>
      <c r="V44" s="120">
        <f t="shared" si="38"/>
        <v>2.2291059280855063E-2</v>
      </c>
      <c r="W44" s="120">
        <f t="shared" si="38"/>
        <v>1.7686500184784237E-2</v>
      </c>
      <c r="X44" s="120">
        <f t="shared" si="38"/>
        <v>1.627226035616558E-2</v>
      </c>
      <c r="Y44" s="120">
        <f t="shared" si="38"/>
        <v>1.8446257538134114E-2</v>
      </c>
      <c r="Z44" s="120">
        <f t="shared" si="38"/>
        <v>1.9937945299931092E-2</v>
      </c>
      <c r="AA44" s="120">
        <f t="shared" si="38"/>
        <v>1.5246895755125833E-2</v>
      </c>
      <c r="AB44" s="120">
        <f t="shared" si="38"/>
        <v>1.2474349281779928E-2</v>
      </c>
      <c r="AC44" s="120">
        <f>1-AC43</f>
        <v>8.5671715918286262E-3</v>
      </c>
      <c r="AD44" s="121">
        <f>1-AD43</f>
        <v>0.42699958186488263</v>
      </c>
      <c r="AE44" s="121">
        <f t="shared" si="38"/>
        <v>0.20210846234210278</v>
      </c>
      <c r="AF44" s="121">
        <f t="shared" si="38"/>
        <v>0.16450175761791086</v>
      </c>
      <c r="AG44" s="121">
        <f t="shared" si="38"/>
        <v>0.15418281772268438</v>
      </c>
      <c r="AH44" s="121">
        <f t="shared" si="38"/>
        <v>0.14608862125851141</v>
      </c>
      <c r="AI44" s="121">
        <f t="shared" si="38"/>
        <v>0.16626386315422004</v>
      </c>
      <c r="AJ44" s="121">
        <f t="shared" si="38"/>
        <v>0.18235417714587687</v>
      </c>
      <c r="AK44" s="121">
        <f t="shared" si="38"/>
        <v>0.19707063411815673</v>
      </c>
      <c r="AL44" s="121">
        <f t="shared" si="38"/>
        <v>0.21232198744686082</v>
      </c>
      <c r="AM44" s="121">
        <f t="shared" si="38"/>
        <v>0.26618021381299839</v>
      </c>
      <c r="AN44" s="121">
        <f t="shared" si="38"/>
        <v>0.23370229744513804</v>
      </c>
      <c r="AO44" s="121">
        <f t="shared" si="38"/>
        <v>0.19070776673374401</v>
      </c>
      <c r="AP44" s="121">
        <f>1-AP43</f>
        <v>0.23363867064364963</v>
      </c>
    </row>
    <row r="45" spans="2:42" ht="17.25" customHeight="1">
      <c r="B45" s="106" t="s">
        <v>37</v>
      </c>
      <c r="C45" s="37" t="s">
        <v>22</v>
      </c>
      <c r="D45" s="117">
        <f>D26/D25</f>
        <v>0.42313846650272063</v>
      </c>
      <c r="E45" s="118">
        <f t="shared" ref="E45:AO45" si="39">E26/E25</f>
        <v>0.40995947145898748</v>
      </c>
      <c r="F45" s="118">
        <f t="shared" si="39"/>
        <v>0.4062525885226857</v>
      </c>
      <c r="G45" s="118">
        <f t="shared" si="39"/>
        <v>0.42130361794979426</v>
      </c>
      <c r="H45" s="118">
        <f t="shared" si="39"/>
        <v>0.44121498804182691</v>
      </c>
      <c r="I45" s="118">
        <f t="shared" si="39"/>
        <v>0.45149042308932824</v>
      </c>
      <c r="J45" s="118">
        <f t="shared" si="39"/>
        <v>0.45518796829482017</v>
      </c>
      <c r="K45" s="118">
        <f t="shared" si="39"/>
        <v>0.46575951378822994</v>
      </c>
      <c r="L45" s="118">
        <f t="shared" si="39"/>
        <v>0.4600351357123999</v>
      </c>
      <c r="M45" s="118">
        <f t="shared" si="39"/>
        <v>0.45321071982224037</v>
      </c>
      <c r="N45" s="118">
        <f t="shared" si="39"/>
        <v>0.4744989624075836</v>
      </c>
      <c r="O45" s="118">
        <f t="shared" si="39"/>
        <v>0.47382673939527675</v>
      </c>
      <c r="P45" s="118">
        <f>P26/P25</f>
        <v>0.47105997343330919</v>
      </c>
      <c r="Q45" s="120">
        <f>Q26/Q25</f>
        <v>0.98614135158320992</v>
      </c>
      <c r="R45" s="120">
        <f t="shared" si="39"/>
        <v>0.98564689764813307</v>
      </c>
      <c r="S45" s="120">
        <f t="shared" si="39"/>
        <v>0.98644840294875658</v>
      </c>
      <c r="T45" s="120">
        <f t="shared" si="39"/>
        <v>0.98844202113523905</v>
      </c>
      <c r="U45" s="120">
        <f t="shared" si="39"/>
        <v>0.99042286990850503</v>
      </c>
      <c r="V45" s="120">
        <f t="shared" si="39"/>
        <v>0.99133371178512752</v>
      </c>
      <c r="W45" s="120">
        <f t="shared" si="39"/>
        <v>0.99190027674485193</v>
      </c>
      <c r="X45" s="120">
        <f t="shared" si="39"/>
        <v>0.99259572196713375</v>
      </c>
      <c r="Y45" s="120">
        <f t="shared" si="39"/>
        <v>0.99265636971431914</v>
      </c>
      <c r="Z45" s="120">
        <f t="shared" si="39"/>
        <v>0.99265983587665818</v>
      </c>
      <c r="AA45" s="120">
        <f t="shared" si="39"/>
        <v>0.99356858856172858</v>
      </c>
      <c r="AB45" s="120">
        <f t="shared" si="39"/>
        <v>0.99369015415889961</v>
      </c>
      <c r="AC45" s="120">
        <f>AC26/AC25</f>
        <v>0.9936976141926338</v>
      </c>
      <c r="AD45" s="121">
        <f>AD26/AD25</f>
        <v>0.61929750677514239</v>
      </c>
      <c r="AE45" s="121">
        <f t="shared" si="39"/>
        <v>0.60933225334873264</v>
      </c>
      <c r="AF45" s="121">
        <f t="shared" si="39"/>
        <v>0.60272381426406973</v>
      </c>
      <c r="AG45" s="121">
        <f t="shared" si="39"/>
        <v>0.61244139784140739</v>
      </c>
      <c r="AH45" s="121">
        <f t="shared" si="39"/>
        <v>0.6265769949805694</v>
      </c>
      <c r="AI45" s="121">
        <f t="shared" si="39"/>
        <v>0.63490705245378432</v>
      </c>
      <c r="AJ45" s="121">
        <f t="shared" si="39"/>
        <v>0.63754352404186732</v>
      </c>
      <c r="AK45" s="121">
        <f t="shared" si="39"/>
        <v>0.64475374170945743</v>
      </c>
      <c r="AL45" s="121">
        <f t="shared" si="39"/>
        <v>0.63984105707801753</v>
      </c>
      <c r="AM45" s="121">
        <f t="shared" si="39"/>
        <v>0.63449702325474611</v>
      </c>
      <c r="AN45" s="121">
        <f t="shared" si="39"/>
        <v>0.64797687383884706</v>
      </c>
      <c r="AO45" s="121">
        <f t="shared" si="39"/>
        <v>0.64617023555582997</v>
      </c>
      <c r="AP45" s="121">
        <f>AP26/AP25</f>
        <v>0.64329624964947485</v>
      </c>
    </row>
    <row r="46" spans="2:42" ht="17.25" customHeight="1">
      <c r="B46" s="107"/>
      <c r="C46" s="39" t="s">
        <v>40</v>
      </c>
      <c r="D46" s="122">
        <f>1-D45</f>
        <v>0.57686153349727931</v>
      </c>
      <c r="E46" s="123">
        <f t="shared" ref="E46:AO46" si="40">1-E45</f>
        <v>0.59004052854101252</v>
      </c>
      <c r="F46" s="123">
        <f t="shared" si="40"/>
        <v>0.59374741147731425</v>
      </c>
      <c r="G46" s="123">
        <f t="shared" si="40"/>
        <v>0.57869638205020579</v>
      </c>
      <c r="H46" s="123">
        <f t="shared" si="40"/>
        <v>0.55878501195817309</v>
      </c>
      <c r="I46" s="123">
        <f t="shared" si="40"/>
        <v>0.54850957691067181</v>
      </c>
      <c r="J46" s="123">
        <f t="shared" si="40"/>
        <v>0.54481203170517989</v>
      </c>
      <c r="K46" s="123">
        <f t="shared" si="40"/>
        <v>0.53424048621177</v>
      </c>
      <c r="L46" s="123">
        <f t="shared" si="40"/>
        <v>0.53996486428760004</v>
      </c>
      <c r="M46" s="123">
        <f t="shared" si="40"/>
        <v>0.54678928017775963</v>
      </c>
      <c r="N46" s="123">
        <f t="shared" si="40"/>
        <v>0.5255010375924164</v>
      </c>
      <c r="O46" s="123">
        <f t="shared" si="40"/>
        <v>0.52617326060472325</v>
      </c>
      <c r="P46" s="123">
        <f>1-P45</f>
        <v>0.52894002656669081</v>
      </c>
      <c r="Q46" s="125">
        <f>1-Q45</f>
        <v>1.3858648416790076E-2</v>
      </c>
      <c r="R46" s="125">
        <f t="shared" si="40"/>
        <v>1.4353102351866931E-2</v>
      </c>
      <c r="S46" s="125">
        <f t="shared" si="40"/>
        <v>1.3551597051243425E-2</v>
      </c>
      <c r="T46" s="125">
        <f t="shared" si="40"/>
        <v>1.1557978864760954E-2</v>
      </c>
      <c r="U46" s="125">
        <f t="shared" si="40"/>
        <v>9.5771300914949675E-3</v>
      </c>
      <c r="V46" s="125">
        <f t="shared" si="40"/>
        <v>8.6662882148724751E-3</v>
      </c>
      <c r="W46" s="125">
        <f t="shared" si="40"/>
        <v>8.0997232551480725E-3</v>
      </c>
      <c r="X46" s="125">
        <f t="shared" si="40"/>
        <v>7.4042780328662516E-3</v>
      </c>
      <c r="Y46" s="125">
        <f t="shared" si="40"/>
        <v>7.3436302856808577E-3</v>
      </c>
      <c r="Z46" s="125">
        <f t="shared" si="40"/>
        <v>7.3401641233418191E-3</v>
      </c>
      <c r="AA46" s="125">
        <f t="shared" si="40"/>
        <v>6.4314114382714171E-3</v>
      </c>
      <c r="AB46" s="125">
        <f t="shared" si="40"/>
        <v>6.3098458411003921E-3</v>
      </c>
      <c r="AC46" s="125">
        <f>1-AC45</f>
        <v>6.3023858073661954E-3</v>
      </c>
      <c r="AD46" s="126">
        <f>1-AD45</f>
        <v>0.38070249322485761</v>
      </c>
      <c r="AE46" s="126">
        <f t="shared" si="40"/>
        <v>0.39066774665126736</v>
      </c>
      <c r="AF46" s="126">
        <f t="shared" si="40"/>
        <v>0.39727618573593027</v>
      </c>
      <c r="AG46" s="126">
        <f t="shared" si="40"/>
        <v>0.38755860215859261</v>
      </c>
      <c r="AH46" s="126">
        <f t="shared" si="40"/>
        <v>0.3734230050194306</v>
      </c>
      <c r="AI46" s="126">
        <f t="shared" si="40"/>
        <v>0.36509294754621568</v>
      </c>
      <c r="AJ46" s="126">
        <f t="shared" si="40"/>
        <v>0.36245647595813268</v>
      </c>
      <c r="AK46" s="126">
        <f t="shared" si="40"/>
        <v>0.35524625829054257</v>
      </c>
      <c r="AL46" s="126">
        <f t="shared" si="40"/>
        <v>0.36015894292198247</v>
      </c>
      <c r="AM46" s="126">
        <f t="shared" si="40"/>
        <v>0.36550297674525389</v>
      </c>
      <c r="AN46" s="126">
        <f t="shared" si="40"/>
        <v>0.35202312616115294</v>
      </c>
      <c r="AO46" s="126">
        <f t="shared" si="40"/>
        <v>0.35382976444417003</v>
      </c>
      <c r="AP46" s="126">
        <f>1-AP45</f>
        <v>0.35670375035052515</v>
      </c>
    </row>
  </sheetData>
  <mergeCells count="6">
    <mergeCell ref="D2:O2"/>
    <mergeCell ref="Q2:AB2"/>
    <mergeCell ref="AD2:AO2"/>
    <mergeCell ref="D29:O29"/>
    <mergeCell ref="Q29:AB29"/>
    <mergeCell ref="AD29:AO29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5" tint="0.79998168889431442"/>
  </sheetPr>
  <dimension ref="B2:R86"/>
  <sheetViews>
    <sheetView showGridLines="0" workbookViewId="0">
      <selection activeCell="S59" sqref="S59"/>
    </sheetView>
  </sheetViews>
  <sheetFormatPr defaultRowHeight="15"/>
  <cols>
    <col min="2" max="2" width="37.7109375" customWidth="1"/>
    <col min="3" max="3" width="13.85546875" customWidth="1"/>
    <col min="4" max="4" width="13.7109375" customWidth="1"/>
    <col min="5" max="5" width="6.42578125" customWidth="1"/>
    <col min="6" max="6" width="13.85546875" customWidth="1"/>
    <col min="7" max="7" width="11.42578125" customWidth="1"/>
    <col min="8" max="15" width="6.42578125" customWidth="1"/>
  </cols>
  <sheetData>
    <row r="2" spans="2:7" ht="27.75" customHeight="1">
      <c r="B2" s="634" t="s">
        <v>202</v>
      </c>
      <c r="C2" s="635"/>
      <c r="D2" s="635"/>
      <c r="E2" s="635"/>
      <c r="F2" s="635"/>
      <c r="G2" s="636"/>
    </row>
    <row r="3" spans="2:7" ht="28.5" customHeight="1">
      <c r="B3" s="449" t="s">
        <v>1</v>
      </c>
      <c r="C3" s="449" t="s">
        <v>201</v>
      </c>
      <c r="D3" s="449" t="s">
        <v>203</v>
      </c>
      <c r="E3" s="449" t="s">
        <v>1</v>
      </c>
      <c r="F3" s="449" t="s">
        <v>201</v>
      </c>
      <c r="G3" s="449" t="s">
        <v>203</v>
      </c>
    </row>
    <row r="4" spans="2:7">
      <c r="B4" s="637">
        <v>2002</v>
      </c>
      <c r="C4" s="450" t="str">
        <f>"Até R$ "&amp;'RPPS_Faixa de Remuneração'!C8</f>
        <v>Até R$ 416,5</v>
      </c>
      <c r="D4" s="451">
        <f>'RPPS_Faixa de Remuneração'!K8</f>
        <v>0</v>
      </c>
      <c r="E4" s="637">
        <v>2009</v>
      </c>
      <c r="F4" s="450" t="str">
        <f>"Até R$ "&amp;'RPPS_Faixa de Remuneração'!CJ8</f>
        <v>Até R$ 822,99</v>
      </c>
      <c r="G4" s="451">
        <f>'RPPS_Faixa de Remuneração'!CP8/100</f>
        <v>2E-3</v>
      </c>
    </row>
    <row r="5" spans="2:7">
      <c r="B5" s="637"/>
      <c r="C5" s="450" t="s">
        <v>42</v>
      </c>
      <c r="D5" s="451">
        <f>1-D4</f>
        <v>1</v>
      </c>
      <c r="E5" s="637"/>
      <c r="F5" s="450" t="s">
        <v>42</v>
      </c>
      <c r="G5" s="451">
        <f>1-G4</f>
        <v>0.998</v>
      </c>
    </row>
    <row r="6" spans="2:7">
      <c r="B6" s="637">
        <v>2003</v>
      </c>
      <c r="C6" s="450" t="str">
        <f>"Até R$ "&amp;'RPPS_Faixa de Remuneração'!P8</f>
        <v>Até R$ 480,53</v>
      </c>
      <c r="D6" s="451">
        <f>'RPPS_Faixa de Remuneração'!W8/100</f>
        <v>1E-3</v>
      </c>
      <c r="E6" s="637">
        <v>2010</v>
      </c>
      <c r="F6" s="450" t="str">
        <f>"Até R$ "&amp;'RPPS_Faixa de Remuneração'!CT8</f>
        <v>Até R$ 822,99</v>
      </c>
      <c r="G6" s="451">
        <f>'RPPS_Faixa de Remuneração'!CZ8/100</f>
        <v>2E-3</v>
      </c>
    </row>
    <row r="7" spans="2:7">
      <c r="B7" s="637"/>
      <c r="C7" s="450" t="s">
        <v>42</v>
      </c>
      <c r="D7" s="451">
        <f>1-D6</f>
        <v>0.999</v>
      </c>
      <c r="E7" s="637"/>
      <c r="F7" s="450" t="s">
        <v>42</v>
      </c>
      <c r="G7" s="451">
        <f>1-G6</f>
        <v>0.998</v>
      </c>
    </row>
    <row r="8" spans="2:7">
      <c r="B8" s="637">
        <v>2004</v>
      </c>
      <c r="C8" s="450" t="str">
        <f>"Até R$ "&amp;'RPPS_Faixa de Remuneração'!AB8</f>
        <v>Até R$ 480,53</v>
      </c>
      <c r="D8" s="451">
        <f>'RPPS_Faixa de Remuneração'!AI8/100</f>
        <v>1E-3</v>
      </c>
      <c r="E8" s="637">
        <v>2011</v>
      </c>
      <c r="F8" s="450" t="str">
        <f>"Até R$ "&amp;'RPPS_Faixa de Remuneração'!DD8</f>
        <v>Até R$ 1034,59</v>
      </c>
      <c r="G8" s="451">
        <f>'RPPS_Faixa de Remuneração'!DJ8/100</f>
        <v>4.0000000000000001E-3</v>
      </c>
    </row>
    <row r="9" spans="2:7">
      <c r="B9" s="637"/>
      <c r="C9" s="450" t="s">
        <v>42</v>
      </c>
      <c r="D9" s="451">
        <f>1-D8</f>
        <v>0.999</v>
      </c>
      <c r="E9" s="637"/>
      <c r="F9" s="450" t="s">
        <v>42</v>
      </c>
      <c r="G9" s="451">
        <f>1-G8</f>
        <v>0.996</v>
      </c>
    </row>
    <row r="10" spans="2:7">
      <c r="B10" s="637">
        <v>2005</v>
      </c>
      <c r="C10" s="450" t="str">
        <f>"Até R$ "&amp;'RPPS_Faixa de Remuneração'!AM8</f>
        <v>Até R$ 598,03</v>
      </c>
      <c r="D10" s="451">
        <f>'RPPS_Faixa de Remuneração'!AU8/100</f>
        <v>1E-3</v>
      </c>
      <c r="E10" s="637">
        <v>2012</v>
      </c>
      <c r="F10" s="450" t="str">
        <f>"Até R$ "&amp;'RPPS_Faixa de Remuneração'!DN8</f>
        <v>Até R$ 1034,59</v>
      </c>
      <c r="G10" s="451">
        <f>'RPPS_Faixa de Remuneração'!DT8/100</f>
        <v>4.0000000000000001E-3</v>
      </c>
    </row>
    <row r="11" spans="2:7">
      <c r="B11" s="637"/>
      <c r="C11" s="450" t="s">
        <v>42</v>
      </c>
      <c r="D11" s="451">
        <f>1-D10</f>
        <v>0.999</v>
      </c>
      <c r="E11" s="637"/>
      <c r="F11" s="450" t="s">
        <v>42</v>
      </c>
      <c r="G11" s="451">
        <f>1-G10</f>
        <v>0.996</v>
      </c>
    </row>
    <row r="12" spans="2:7">
      <c r="B12" s="637">
        <v>2006</v>
      </c>
      <c r="C12" s="450" t="str">
        <f>"Até R$ "&amp;'RPPS_Faixa de Remuneração'!AZ8</f>
        <v>Até R$ 598,03</v>
      </c>
      <c r="D12" s="451">
        <f>'RPPS_Faixa de Remuneração'!BG8/100</f>
        <v>1E-3</v>
      </c>
      <c r="E12" s="637">
        <v>2013</v>
      </c>
      <c r="F12" s="450" t="str">
        <f>"Até R$ "&amp;'RPPS_Faixa de Remuneração'!DX8</f>
        <v>Até R$ 1086,32</v>
      </c>
      <c r="G12" s="451">
        <f>'RPPS_Faixa de Remuneração'!ED8/100</f>
        <v>4.0000000000000001E-3</v>
      </c>
    </row>
    <row r="13" spans="2:7">
      <c r="B13" s="637"/>
      <c r="C13" s="450" t="s">
        <v>42</v>
      </c>
      <c r="D13" s="451">
        <f>1-D12</f>
        <v>0.999</v>
      </c>
      <c r="E13" s="637"/>
      <c r="F13" s="450" t="s">
        <v>42</v>
      </c>
      <c r="G13" s="451">
        <f>1-G12</f>
        <v>0.996</v>
      </c>
    </row>
    <row r="14" spans="2:7">
      <c r="B14" s="637">
        <v>2007</v>
      </c>
      <c r="C14" s="450" t="str">
        <f>"Até R$ "&amp;'RPPS_Faixa de Remuneração'!BL8</f>
        <v>Até R$ 492,92</v>
      </c>
      <c r="D14" s="451">
        <f>'RPPS_Faixa de Remuneração'!BT8/100</f>
        <v>0</v>
      </c>
      <c r="E14" s="637">
        <v>2014</v>
      </c>
      <c r="F14" s="450" t="s">
        <v>204</v>
      </c>
      <c r="G14" s="451">
        <f>'RPPS_Faixa de Remuneração'!EO8/100</f>
        <v>3.3827509694111402E-3</v>
      </c>
    </row>
    <row r="15" spans="2:7">
      <c r="B15" s="637"/>
      <c r="C15" s="450" t="s">
        <v>42</v>
      </c>
      <c r="D15" s="451">
        <f>1-D14</f>
        <v>1</v>
      </c>
      <c r="E15" s="637"/>
      <c r="F15" s="450" t="s">
        <v>42</v>
      </c>
      <c r="G15" s="451">
        <f>1-G14</f>
        <v>0.9966172490305889</v>
      </c>
    </row>
    <row r="16" spans="2:7">
      <c r="B16" s="637">
        <v>2008</v>
      </c>
      <c r="C16" s="450" t="str">
        <f>"Até R$ "&amp;'RPPS_Faixa de Remuneração'!CA8</f>
        <v>Até R$ 523,44</v>
      </c>
      <c r="D16" s="451">
        <f>'RPPS_Faixa de Remuneração'!CF8/100</f>
        <v>1E-3</v>
      </c>
      <c r="E16" s="637">
        <v>2015</v>
      </c>
      <c r="F16" s="450" t="str">
        <f>"Até R$ "&amp;'RPPS_Faixa de Remuneração'!EU8</f>
        <v>Até R$ 1140,64</v>
      </c>
      <c r="G16" s="451">
        <f>'RPPS_Faixa de Remuneração'!FE8/100</f>
        <v>4.0000000000000001E-3</v>
      </c>
    </row>
    <row r="17" spans="2:16">
      <c r="B17" s="637"/>
      <c r="C17" s="450" t="s">
        <v>42</v>
      </c>
      <c r="D17" s="451">
        <f>1-D16</f>
        <v>0.999</v>
      </c>
      <c r="E17" s="637"/>
      <c r="F17" s="450" t="s">
        <v>42</v>
      </c>
      <c r="G17" s="451">
        <f>1-G16</f>
        <v>0.996</v>
      </c>
    </row>
    <row r="18" spans="2:16">
      <c r="B18" s="18" t="s">
        <v>266</v>
      </c>
    </row>
    <row r="19" spans="2:16">
      <c r="B19" s="18"/>
    </row>
    <row r="20" spans="2:16" ht="16.5">
      <c r="B20" s="40" t="s">
        <v>283</v>
      </c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</row>
    <row r="21" spans="2:16">
      <c r="B21" s="448"/>
      <c r="C21" s="448">
        <v>2001</v>
      </c>
      <c r="D21" s="448">
        <v>2002</v>
      </c>
      <c r="E21" s="448">
        <v>2003</v>
      </c>
      <c r="F21" s="448">
        <v>2004</v>
      </c>
      <c r="G21" s="448">
        <v>2005</v>
      </c>
      <c r="H21" s="448">
        <v>2006</v>
      </c>
      <c r="I21" s="448">
        <v>2007</v>
      </c>
      <c r="J21" s="448">
        <v>2008</v>
      </c>
      <c r="K21" s="448">
        <v>2009</v>
      </c>
      <c r="L21" s="448">
        <v>2010</v>
      </c>
      <c r="M21" s="448">
        <v>2011</v>
      </c>
      <c r="N21" s="448">
        <v>2012</v>
      </c>
      <c r="O21" s="448">
        <v>2013</v>
      </c>
      <c r="P21" s="448">
        <v>2014</v>
      </c>
    </row>
    <row r="22" spans="2:16">
      <c r="B22" s="554" t="s">
        <v>218</v>
      </c>
      <c r="C22" s="557">
        <f>SUM('RPPS_Quantidade Servidores'!N5:N6)/1000</f>
        <v>906.10599999999999</v>
      </c>
      <c r="D22" s="557">
        <f>SUM('RPPS_Quantidade Servidores'!O5:O6)/1000</f>
        <v>912.33500000000004</v>
      </c>
      <c r="E22" s="557">
        <f>SUM('RPPS_Quantidade Servidores'!P5:P6)/1000</f>
        <v>928.95</v>
      </c>
      <c r="F22" s="557">
        <f>SUM('RPPS_Quantidade Servidores'!Q5:Q6)/1000</f>
        <v>945.43899999999996</v>
      </c>
      <c r="G22" s="557">
        <f>SUM('RPPS_Quantidade Servidores'!R5:R6)/1000</f>
        <v>939.85299999999995</v>
      </c>
      <c r="H22" s="557">
        <f>SUM('RPPS_Quantidade Servidores'!S5:S6)/1000</f>
        <v>941.42399999999998</v>
      </c>
      <c r="I22" s="557">
        <f>SUM('RPPS_Quantidade Servidores'!T5:T6)/1000</f>
        <v>944.279</v>
      </c>
      <c r="J22" s="557">
        <f>SUM('RPPS_Quantidade Servidores'!U5:U6)/1000</f>
        <v>949.70699999999999</v>
      </c>
      <c r="K22" s="557">
        <f>SUM('RPPS_Quantidade Servidores'!V5:V6)/1000</f>
        <v>904.21100000000001</v>
      </c>
      <c r="L22" s="557">
        <f>SUM('RPPS_Quantidade Servidores'!W5:W6)/1000</f>
        <v>913.91499999999996</v>
      </c>
      <c r="M22" s="557">
        <f>SUM('RPPS_Quantidade Servidores'!X5:X6)/1000</f>
        <v>922.96299999999997</v>
      </c>
      <c r="N22" s="557">
        <f>SUM('RPPS_Quantidade Servidores'!Y5:Y6)/1000</f>
        <v>931.48</v>
      </c>
      <c r="O22" s="557">
        <f>SUM('RPPS_Quantidade Servidores'!Z5:Z6)/1000</f>
        <v>935.06</v>
      </c>
      <c r="P22" s="557">
        <f>SUM('RPPS_Quantidade Servidores'!AA5:AA6)/1000</f>
        <v>938.36800000000005</v>
      </c>
    </row>
    <row r="23" spans="2:16">
      <c r="B23" s="555" t="s">
        <v>219</v>
      </c>
      <c r="C23" s="557">
        <f>SUM('RPPS_Quantidade Servidores'!N10:N11)/1000</f>
        <v>605.67499999999995</v>
      </c>
      <c r="D23" s="557">
        <f>SUM('RPPS_Quantidade Servidores'!O10:O11)/1000</f>
        <v>608.57100000000003</v>
      </c>
      <c r="E23" s="557">
        <f>SUM('RPPS_Quantidade Servidores'!P10:P11)/1000</f>
        <v>621.41300000000001</v>
      </c>
      <c r="F23" s="557">
        <f>SUM('RPPS_Quantidade Servidores'!Q10:Q11)/1000</f>
        <v>632.37800000000004</v>
      </c>
      <c r="G23" s="557">
        <f>SUM('RPPS_Quantidade Servidores'!R10:R11)/1000</f>
        <v>621.03099999999995</v>
      </c>
      <c r="H23" s="557">
        <f>SUM('RPPS_Quantidade Servidores'!S10:S11)/1000</f>
        <v>617.59199999999998</v>
      </c>
      <c r="I23" s="557">
        <f>SUM('RPPS_Quantidade Servidores'!T10:T11)/1000</f>
        <v>618.39400000000001</v>
      </c>
      <c r="J23" s="557">
        <f>SUM('RPPS_Quantidade Servidores'!U10:U11)/1000</f>
        <v>619.99800000000005</v>
      </c>
      <c r="K23" s="557">
        <f>SUM('RPPS_Quantidade Servidores'!V10:V11)/1000</f>
        <v>622.32100000000003</v>
      </c>
      <c r="L23" s="557">
        <f>SUM('RPPS_Quantidade Servidores'!W10:W11)/1000</f>
        <v>628.32000000000005</v>
      </c>
      <c r="M23" s="557">
        <f>SUM('RPPS_Quantidade Servidores'!X10:X11)/1000</f>
        <v>635.08399999999995</v>
      </c>
      <c r="N23" s="557">
        <f>SUM('RPPS_Quantidade Servidores'!Y10:Y11)/1000</f>
        <v>639.05200000000002</v>
      </c>
      <c r="O23" s="557">
        <f>SUM('RPPS_Quantidade Servidores'!Z10:Z11)/1000</f>
        <v>639.75199999999995</v>
      </c>
      <c r="P23" s="557">
        <f>SUM('RPPS_Quantidade Servidores'!AA10:AA11)/1000</f>
        <v>641.78200000000004</v>
      </c>
    </row>
    <row r="24" spans="2:16">
      <c r="B24" s="555" t="s">
        <v>220</v>
      </c>
      <c r="C24" s="557">
        <f>SUM('RPPS_Quantidade Servidores'!N40:N41)/1000</f>
        <v>300.43099999999998</v>
      </c>
      <c r="D24" s="557">
        <f>SUM('RPPS_Quantidade Servidores'!O40:O41)/1000</f>
        <v>303.76400000000001</v>
      </c>
      <c r="E24" s="557">
        <f>SUM('RPPS_Quantidade Servidores'!P40:P41)/1000</f>
        <v>307.53699999999998</v>
      </c>
      <c r="F24" s="557">
        <f>SUM('RPPS_Quantidade Servidores'!Q40:Q41)/1000</f>
        <v>313.06099999999998</v>
      </c>
      <c r="G24" s="557">
        <f>SUM('RPPS_Quantidade Servidores'!R40:R41)/1000</f>
        <v>318.822</v>
      </c>
      <c r="H24" s="557">
        <f>SUM('RPPS_Quantidade Servidores'!S40:S41)/1000</f>
        <v>323.83199999999999</v>
      </c>
      <c r="I24" s="557">
        <f>SUM('RPPS_Quantidade Servidores'!T40:T41)/1000</f>
        <v>325.88499999999999</v>
      </c>
      <c r="J24" s="557">
        <f>SUM('RPPS_Quantidade Servidores'!U40:U41)/1000</f>
        <v>329.709</v>
      </c>
      <c r="K24" s="557">
        <f>SUM('RPPS_Quantidade Servidores'!V40:V41)/1000</f>
        <v>281.89</v>
      </c>
      <c r="L24" s="557">
        <f>SUM('RPPS_Quantidade Servidores'!W40:W41)/1000</f>
        <v>285.59500000000003</v>
      </c>
      <c r="M24" s="557">
        <f>SUM('RPPS_Quantidade Servidores'!X40:X41)/1000</f>
        <v>287.87900000000002</v>
      </c>
      <c r="N24" s="557">
        <f>SUM('RPPS_Quantidade Servidores'!Y40:Y41)/1000</f>
        <v>292.428</v>
      </c>
      <c r="O24" s="557">
        <f>SUM('RPPS_Quantidade Servidores'!Z40:Z41)/1000</f>
        <v>295.30799999999999</v>
      </c>
      <c r="P24" s="557">
        <f>SUM('RPPS_Quantidade Servidores'!AA40:AA41)/1000</f>
        <v>296.58600000000001</v>
      </c>
    </row>
    <row r="25" spans="2:16">
      <c r="B25" s="554" t="s">
        <v>221</v>
      </c>
      <c r="C25" s="557">
        <f>SUM('RPPS_Quantidade Servidores'!N44:N45)/1000</f>
        <v>10.409000000000001</v>
      </c>
      <c r="D25" s="557">
        <f>SUM('RPPS_Quantidade Servidores'!O44:O45)/1000</f>
        <v>10.346</v>
      </c>
      <c r="E25" s="557">
        <f>SUM('RPPS_Quantidade Servidores'!P44:P45)/1000</f>
        <v>10.840999999999999</v>
      </c>
      <c r="F25" s="557">
        <f>SUM('RPPS_Quantidade Servidores'!Q44:Q45)/1000</f>
        <v>10.88</v>
      </c>
      <c r="G25" s="557">
        <f>SUM('RPPS_Quantidade Servidores'!R44:R45)/1000</f>
        <v>9.907</v>
      </c>
      <c r="H25" s="557">
        <f>SUM('RPPS_Quantidade Servidores'!S44:S45)/1000</f>
        <v>10.994</v>
      </c>
      <c r="I25" s="557">
        <f>SUM('RPPS_Quantidade Servidores'!T44:T45)/1000</f>
        <v>10.994</v>
      </c>
      <c r="J25" s="557">
        <f>SUM('RPPS_Quantidade Servidores'!U44:U45)/1000</f>
        <v>10.978</v>
      </c>
      <c r="K25" s="557">
        <f>SUM('RPPS_Quantidade Servidores'!V44:V45)/1000</f>
        <v>9.7270000000000003</v>
      </c>
      <c r="L25" s="557">
        <f>SUM('RPPS_Quantidade Servidores'!W44:W45)/1000</f>
        <v>9.7289999999999992</v>
      </c>
      <c r="M25" s="557">
        <f>SUM('RPPS_Quantidade Servidores'!X44:X45)/1000</f>
        <v>9.4280000000000008</v>
      </c>
      <c r="N25" s="557">
        <f>SUM('RPPS_Quantidade Servidores'!Y44:Y45)/1000</f>
        <v>9.74</v>
      </c>
      <c r="O25" s="557">
        <f>SUM('RPPS_Quantidade Servidores'!Z44:Z45)/1000</f>
        <v>9.9949999999999992</v>
      </c>
      <c r="P25" s="557">
        <f>SUM('RPPS_Quantidade Servidores'!AA44:AA45)/1000</f>
        <v>10.116</v>
      </c>
    </row>
    <row r="26" spans="2:16">
      <c r="B26" s="554" t="s">
        <v>222</v>
      </c>
      <c r="C26" s="557">
        <f>SUM('RPPS_Quantidade Servidores'!N48:N49)/1000</f>
        <v>20.873999999999999</v>
      </c>
      <c r="D26" s="557">
        <f>SUM('RPPS_Quantidade Servidores'!O48:O49)/1000</f>
        <v>21.093</v>
      </c>
      <c r="E26" s="557">
        <f>SUM('RPPS_Quantidade Servidores'!P48:P49)/1000</f>
        <v>21.774999999999999</v>
      </c>
      <c r="F26" s="557">
        <f>SUM('RPPS_Quantidade Servidores'!Q48:Q49)/1000</f>
        <v>22.277999999999999</v>
      </c>
      <c r="G26" s="557">
        <f>SUM('RPPS_Quantidade Servidores'!R48:R49)/1000</f>
        <v>22.196999999999999</v>
      </c>
      <c r="H26" s="557">
        <f>SUM('RPPS_Quantidade Servidores'!S48:S49)/1000</f>
        <v>22.48</v>
      </c>
      <c r="I26" s="557">
        <f>SUM('RPPS_Quantidade Servidores'!T48:T49)/1000</f>
        <v>22.666</v>
      </c>
      <c r="J26" s="557">
        <f>SUM('RPPS_Quantidade Servidores'!U48:U49)/1000</f>
        <v>22.657</v>
      </c>
      <c r="K26" s="557">
        <f>SUM('RPPS_Quantidade Servidores'!V48:V49)/1000</f>
        <v>25.484999999999999</v>
      </c>
      <c r="L26" s="557">
        <f>SUM('RPPS_Quantidade Servidores'!W48:W49)/1000</f>
        <v>26.204000000000001</v>
      </c>
      <c r="M26" s="557">
        <f>SUM('RPPS_Quantidade Servidores'!X48:X49)/1000</f>
        <v>25.157</v>
      </c>
      <c r="N26" s="557">
        <f>SUM('RPPS_Quantidade Servidores'!Y48:Y49)/1000</f>
        <v>25.748999999999999</v>
      </c>
      <c r="O26" s="557">
        <f>SUM('RPPS_Quantidade Servidores'!Z48:Z49)/1000</f>
        <v>27.268999999999998</v>
      </c>
      <c r="P26" s="557">
        <f>SUM('RPPS_Quantidade Servidores'!AA48:AA49)/1000</f>
        <v>28.381</v>
      </c>
    </row>
    <row r="27" spans="2:16">
      <c r="B27" s="554" t="s">
        <v>223</v>
      </c>
      <c r="C27" s="557">
        <f>SUM('RPPS_Quantidade Servidores'!N52:N53)/1000</f>
        <v>937.38900000000001</v>
      </c>
      <c r="D27" s="557">
        <f>SUM('RPPS_Quantidade Servidores'!O52:O53)/1000</f>
        <v>943.774</v>
      </c>
      <c r="E27" s="557">
        <f>SUM('RPPS_Quantidade Servidores'!P52:P53)/1000</f>
        <v>961.56600000000003</v>
      </c>
      <c r="F27" s="557">
        <f>SUM('RPPS_Quantidade Servidores'!Q52:Q53)/1000</f>
        <v>978.59699999999998</v>
      </c>
      <c r="G27" s="557">
        <f>SUM('RPPS_Quantidade Servidores'!R52:R53)/1000</f>
        <v>971.95699999999999</v>
      </c>
      <c r="H27" s="557">
        <f>SUM('RPPS_Quantidade Servidores'!S52:S53)/1000</f>
        <v>974.89800000000002</v>
      </c>
      <c r="I27" s="557">
        <f>SUM('RPPS_Quantidade Servidores'!T52:T53)/1000</f>
        <v>977.93899999999996</v>
      </c>
      <c r="J27" s="557">
        <f>SUM('RPPS_Quantidade Servidores'!U52:U53)/1000</f>
        <v>983.34199999999998</v>
      </c>
      <c r="K27" s="557">
        <f>SUM('RPPS_Quantidade Servidores'!V52:V53)/1000</f>
        <v>939.423</v>
      </c>
      <c r="L27" s="557">
        <f>SUM('RPPS_Quantidade Servidores'!W52:W53)/1000</f>
        <v>949.84799999999996</v>
      </c>
      <c r="M27" s="557">
        <f>SUM('RPPS_Quantidade Servidores'!X52:X53)/1000</f>
        <v>957.548</v>
      </c>
      <c r="N27" s="557">
        <f>SUM('RPPS_Quantidade Servidores'!Y52:Y53)/1000</f>
        <v>966.96900000000005</v>
      </c>
      <c r="O27" s="557">
        <f>SUM('RPPS_Quantidade Servidores'!Z52:Z53)/1000</f>
        <v>972.32399999999996</v>
      </c>
      <c r="P27" s="557">
        <f>SUM('RPPS_Quantidade Servidores'!AA52:AA53)/1000</f>
        <v>976.86500000000001</v>
      </c>
    </row>
    <row r="28" spans="2:16" ht="30.75" customHeight="1">
      <c r="B28" s="556" t="s">
        <v>224</v>
      </c>
      <c r="C28" s="557">
        <f>SUM('RPPS_Quantidade Servidores'!N56:N57)/1000</f>
        <v>58.191000000000003</v>
      </c>
      <c r="D28" s="557">
        <f>SUM('RPPS_Quantidade Servidores'!O56:O57)/1000</f>
        <v>64.375</v>
      </c>
      <c r="E28" s="557">
        <f>SUM('RPPS_Quantidade Servidores'!P56:P57)/1000</f>
        <v>64.558999999999997</v>
      </c>
      <c r="F28" s="557">
        <f>SUM('RPPS_Quantidade Servidores'!Q56:Q57)/1000</f>
        <v>67.113</v>
      </c>
      <c r="G28" s="557">
        <f>SUM('RPPS_Quantidade Servidores'!R56:R57)/1000</f>
        <v>72.941999999999993</v>
      </c>
      <c r="H28" s="557">
        <f>SUM('RPPS_Quantidade Servidores'!S56:S57)/1000</f>
        <v>73.968000000000004</v>
      </c>
      <c r="I28" s="557">
        <f>SUM('RPPS_Quantidade Servidores'!T56:T57)/1000</f>
        <v>73.968000000000004</v>
      </c>
      <c r="J28" s="557">
        <f>SUM('RPPS_Quantidade Servidores'!U56:U57)/1000</f>
        <v>77.539000000000001</v>
      </c>
      <c r="K28" s="557">
        <f>SUM('RPPS_Quantidade Servidores'!V56:V57)/1000</f>
        <v>40.088999999999999</v>
      </c>
      <c r="L28" s="557">
        <f>SUM('RPPS_Quantidade Servidores'!W56:W57)/1000</f>
        <v>43.39</v>
      </c>
      <c r="M28" s="557">
        <f>SUM('RPPS_Quantidade Servidores'!X56:X57)/1000</f>
        <v>43.445999999999998</v>
      </c>
      <c r="N28" s="557">
        <f>SUM('RPPS_Quantidade Servidores'!Y56:Y57)/1000</f>
        <v>45.802</v>
      </c>
      <c r="O28" s="557">
        <f>SUM('RPPS_Quantidade Servidores'!Z56:Z57)/1000</f>
        <v>48.655000000000001</v>
      </c>
      <c r="P28" s="557">
        <f>SUM('RPPS_Quantidade Servidores'!AA56:AA57)/1000</f>
        <v>49.136000000000003</v>
      </c>
    </row>
    <row r="29" spans="2:16">
      <c r="B29" s="194"/>
      <c r="C29" s="562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</row>
    <row r="30" spans="2:16" ht="16.5">
      <c r="B30" s="18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</row>
    <row r="31" spans="2:16">
      <c r="B31" t="s">
        <v>272</v>
      </c>
      <c r="C31" s="561">
        <v>195</v>
      </c>
      <c r="D31" s="561">
        <v>230</v>
      </c>
      <c r="E31" s="561">
        <v>253.33333333333334</v>
      </c>
      <c r="F31" s="561">
        <v>287.2523686477175</v>
      </c>
      <c r="G31" s="561">
        <v>337.5</v>
      </c>
      <c r="H31" s="561">
        <v>373.07223747426218</v>
      </c>
      <c r="I31" s="561">
        <v>409.16666666666669</v>
      </c>
      <c r="J31" s="561">
        <v>461.85393258426967</v>
      </c>
      <c r="K31" s="561">
        <v>510.42543244506777</v>
      </c>
      <c r="L31" s="561">
        <v>545.84497237417781</v>
      </c>
      <c r="M31" s="561">
        <v>622</v>
      </c>
      <c r="N31" s="561">
        <v>677.62264457439903</v>
      </c>
      <c r="O31" s="561">
        <v>724</v>
      </c>
    </row>
    <row r="32" spans="2:16" ht="16.5">
      <c r="B32" s="40" t="s">
        <v>284</v>
      </c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</row>
    <row r="33" spans="2:15" ht="16.5">
      <c r="B33" s="35"/>
      <c r="C33" s="33">
        <v>2002</v>
      </c>
      <c r="D33" s="33">
        <v>2003</v>
      </c>
      <c r="E33" s="33">
        <v>2004</v>
      </c>
      <c r="F33" s="33">
        <v>2005</v>
      </c>
      <c r="G33" s="33">
        <v>2006</v>
      </c>
      <c r="H33" s="33">
        <v>2007</v>
      </c>
      <c r="I33" s="33">
        <v>2008</v>
      </c>
      <c r="J33" s="33">
        <v>2009</v>
      </c>
      <c r="K33" s="33">
        <v>2010</v>
      </c>
      <c r="L33" s="33">
        <v>2011</v>
      </c>
      <c r="M33" s="33">
        <v>2012</v>
      </c>
      <c r="N33" s="33">
        <v>2013</v>
      </c>
      <c r="O33" s="33">
        <v>2014</v>
      </c>
    </row>
    <row r="34" spans="2:15" ht="16.5">
      <c r="B34" s="49" t="s">
        <v>218</v>
      </c>
      <c r="C34" s="67">
        <f>SUM('RPPS_Despesa Anual'!I9:I10)/1000</f>
        <v>28.582132089999998</v>
      </c>
      <c r="D34" s="67">
        <f>SUM('RPPS_Despesa Anual'!J9:J10)/1000</f>
        <v>32.654441783959996</v>
      </c>
      <c r="E34" s="67">
        <f>SUM('RPPS_Despesa Anual'!K9:K10)/1000</f>
        <v>35.719618827449999</v>
      </c>
      <c r="F34" s="67">
        <f>SUM('RPPS_Despesa Anual'!L9:L10)/1000</f>
        <v>38.188800000000001</v>
      </c>
      <c r="G34" s="67">
        <f>SUM('RPPS_Despesa Anual'!M9:M10)/1000</f>
        <v>42.212741809299999</v>
      </c>
      <c r="H34" s="67">
        <f>SUM('RPPS_Despesa Anual'!N9:N10)/1000</f>
        <v>46.229900000000001</v>
      </c>
      <c r="I34" s="67">
        <f>SUM('RPPS_Despesa Anual'!O9:O10)/1000</f>
        <v>51.972991304898805</v>
      </c>
      <c r="J34" s="67">
        <f>SUM('RPPS_Despesa Anual'!P9:P10)/1000</f>
        <v>59.680983707799996</v>
      </c>
      <c r="K34" s="67">
        <f>SUM('RPPS_Despesa Anual'!Q9:Q10,'RPPS_Despesa Anual'!Q39:Q40)/1000</f>
        <v>66.407307221289997</v>
      </c>
      <c r="L34" s="67">
        <f>SUM('RPPS_Despesa Anual'!R9:R10,'RPPS_Despesa Anual'!R39:R40)/1000</f>
        <v>71.398560381719989</v>
      </c>
      <c r="M34" s="67">
        <f>SUM('RPPS_Despesa Anual'!S9:S10,'RPPS_Despesa Anual'!S39:S40)/1000</f>
        <v>73.399402727099996</v>
      </c>
      <c r="N34" s="67">
        <f>SUM('RPPS_Despesa Anual'!T9:T10,'RPPS_Despesa Anual'!T39:T40)/1000</f>
        <v>79.008585332739983</v>
      </c>
      <c r="O34" s="67">
        <f>SUM('RPPS_Despesa Anual'!U9:U10,'RPPS_Despesa Anual'!U39:U40)/1000</f>
        <v>85.229980037589996</v>
      </c>
    </row>
    <row r="35" spans="2:15">
      <c r="B35" s="64" t="s">
        <v>106</v>
      </c>
      <c r="C35" s="550">
        <f>AVERAGE(C22:D22)*13/1000000*C$31</f>
        <v>2.3048739674999998</v>
      </c>
      <c r="D35" s="550">
        <f t="shared" ref="D35:O35" si="0">AVERAGE(D22:E22)*13/1000000*D$31</f>
        <v>2.7527210750000002</v>
      </c>
      <c r="E35" s="550">
        <f t="shared" si="0"/>
        <v>3.0864938866666667</v>
      </c>
      <c r="F35" s="550">
        <f t="shared" si="0"/>
        <v>3.5201048518518521</v>
      </c>
      <c r="G35" s="550">
        <f t="shared" si="0"/>
        <v>4.1270514187499998</v>
      </c>
      <c r="H35" s="550">
        <f t="shared" si="0"/>
        <v>4.5727723432425362</v>
      </c>
      <c r="I35" s="550">
        <f t="shared" si="0"/>
        <v>5.0372135991666669</v>
      </c>
      <c r="J35" s="550">
        <f t="shared" si="0"/>
        <v>5.5655555734269671</v>
      </c>
      <c r="K35" s="550">
        <f t="shared" si="0"/>
        <v>6.0321153736325384</v>
      </c>
      <c r="L35" s="550">
        <f t="shared" si="0"/>
        <v>6.517229037570778</v>
      </c>
      <c r="M35" s="550">
        <f t="shared" si="0"/>
        <v>7.4975130490000002</v>
      </c>
      <c r="N35" s="550">
        <f t="shared" si="0"/>
        <v>8.2212635115253434</v>
      </c>
      <c r="O35" s="550">
        <f t="shared" si="0"/>
        <v>8.8163521679999999</v>
      </c>
    </row>
    <row r="36" spans="2:15">
      <c r="B36" s="64" t="s">
        <v>263</v>
      </c>
      <c r="C36" s="551">
        <f>C35/C34</f>
        <v>8.0640379109660751E-2</v>
      </c>
      <c r="D36" s="551">
        <f t="shared" ref="D36:O36" si="1">D35/D34</f>
        <v>8.4298518811371903E-2</v>
      </c>
      <c r="E36" s="551">
        <f t="shared" si="1"/>
        <v>8.6408925626461103E-2</v>
      </c>
      <c r="F36" s="551">
        <f t="shared" si="1"/>
        <v>9.2176367203259904E-2</v>
      </c>
      <c r="G36" s="551">
        <f t="shared" si="1"/>
        <v>9.7767907078728497E-2</v>
      </c>
      <c r="H36" s="551">
        <f t="shared" si="1"/>
        <v>9.8913740744464865E-2</v>
      </c>
      <c r="I36" s="551">
        <f t="shared" si="1"/>
        <v>9.6919832257026078E-2</v>
      </c>
      <c r="J36" s="551">
        <f t="shared" si="1"/>
        <v>9.3255091113713967E-2</v>
      </c>
      <c r="K36" s="551">
        <f t="shared" si="1"/>
        <v>9.0835114779336493E-2</v>
      </c>
      <c r="L36" s="551">
        <f t="shared" si="1"/>
        <v>9.1279558057298996E-2</v>
      </c>
      <c r="M36" s="551">
        <f t="shared" si="1"/>
        <v>0.10214678553824012</v>
      </c>
      <c r="N36" s="551">
        <f t="shared" si="1"/>
        <v>0.10405531850623548</v>
      </c>
      <c r="O36" s="551">
        <f t="shared" si="1"/>
        <v>0.10344191285873373</v>
      </c>
    </row>
    <row r="37" spans="2:15" ht="16.5">
      <c r="B37" s="453" t="s">
        <v>219</v>
      </c>
      <c r="C37" s="68">
        <f>SUM('RPPS_Despesa Anual'!I13:I14)/1000</f>
        <v>16.925728430000003</v>
      </c>
      <c r="D37" s="68">
        <f>SUM('RPPS_Despesa Anual'!J13:J14)/1000</f>
        <v>20.479833620600001</v>
      </c>
      <c r="E37" s="68">
        <f>SUM('RPPS_Despesa Anual'!K13:K14)/1000</f>
        <v>22.824831411070001</v>
      </c>
      <c r="F37" s="68">
        <f>SUM('RPPS_Despesa Anual'!L13:L14)/1000</f>
        <v>23.885300000000001</v>
      </c>
      <c r="G37" s="68">
        <f>SUM('RPPS_Despesa Anual'!M13:M14)/1000</f>
        <v>26.00700311153</v>
      </c>
      <c r="H37" s="68">
        <f>SUM('RPPS_Despesa Anual'!N13:N14)/1000</f>
        <v>28.6783</v>
      </c>
      <c r="I37" s="68">
        <f>SUM('RPPS_Despesa Anual'!O13:O14)/1000</f>
        <v>31.990331459318703</v>
      </c>
      <c r="J37" s="68">
        <f>SUM('RPPS_Despesa Anual'!P13:P14)/1000</f>
        <v>38.821658146129998</v>
      </c>
      <c r="K37" s="68">
        <f>SUM('RPPS_Despesa Anual'!Q13:Q14,'RPPS_Despesa Anual'!Q39:Q40)/1000</f>
        <v>44.029517585689995</v>
      </c>
      <c r="L37" s="68">
        <f>SUM('RPPS_Despesa Anual'!R13:R14,'RPPS_Despesa Anual'!R39:R40)/1000</f>
        <v>48.015191341360008</v>
      </c>
      <c r="M37" s="68">
        <f>SUM('RPPS_Despesa Anual'!S13:S14,'RPPS_Despesa Anual'!S39:S40)/1000</f>
        <v>50.232438906219997</v>
      </c>
      <c r="N37" s="68">
        <f>SUM('RPPS_Despesa Anual'!T13:T14,'RPPS_Despesa Anual'!T39:T40)/1000</f>
        <v>53.604770644899993</v>
      </c>
      <c r="O37" s="68">
        <f>SUM('RPPS_Despesa Anual'!U13:U14,'RPPS_Despesa Anual'!U39:U40)/1000</f>
        <v>57.301372585460001</v>
      </c>
    </row>
    <row r="38" spans="2:15">
      <c r="B38" s="64" t="s">
        <v>106</v>
      </c>
      <c r="C38" s="550">
        <f>AVERAGE(C23:D23)*13/1000000*C$31</f>
        <v>1.539056805</v>
      </c>
      <c r="D38" s="550">
        <f t="shared" ref="D38:O38" si="2">AVERAGE(D23:E23)*13/1000000*D$31</f>
        <v>1.8388260799999998</v>
      </c>
      <c r="E38" s="550">
        <f t="shared" si="2"/>
        <v>2.0645758466666675</v>
      </c>
      <c r="F38" s="550">
        <f t="shared" si="2"/>
        <v>2.3402905768733855</v>
      </c>
      <c r="G38" s="550">
        <f t="shared" si="2"/>
        <v>2.7172292062500003</v>
      </c>
      <c r="H38" s="550">
        <f t="shared" si="2"/>
        <v>2.997228406294612</v>
      </c>
      <c r="I38" s="550">
        <f t="shared" si="2"/>
        <v>3.2936067233333337</v>
      </c>
      <c r="J38" s="550">
        <f t="shared" si="2"/>
        <v>3.7295044518820224</v>
      </c>
      <c r="K38" s="550">
        <f t="shared" si="2"/>
        <v>4.1493333261804581</v>
      </c>
      <c r="L38" s="550">
        <f t="shared" si="2"/>
        <v>4.4825476896032672</v>
      </c>
      <c r="M38" s="550">
        <f t="shared" si="2"/>
        <v>5.1513318479999999</v>
      </c>
      <c r="N38" s="550">
        <f t="shared" si="2"/>
        <v>5.6325525644200791</v>
      </c>
      <c r="O38" s="550">
        <f t="shared" si="2"/>
        <v>6.030899004000001</v>
      </c>
    </row>
    <row r="39" spans="2:15">
      <c r="B39" s="64" t="s">
        <v>263</v>
      </c>
      <c r="C39" s="551">
        <f>C38/C37</f>
        <v>9.0930018838781504E-2</v>
      </c>
      <c r="D39" s="551">
        <f t="shared" ref="D39:O39" si="3">D38/D37</f>
        <v>8.9787159117854565E-2</v>
      </c>
      <c r="E39" s="551">
        <f t="shared" si="3"/>
        <v>9.0453060067964053E-2</v>
      </c>
      <c r="F39" s="551">
        <f t="shared" si="3"/>
        <v>9.798037189708253E-2</v>
      </c>
      <c r="G39" s="551">
        <f t="shared" si="3"/>
        <v>0.10448067370920328</v>
      </c>
      <c r="H39" s="551">
        <f t="shared" si="3"/>
        <v>0.10451206683431766</v>
      </c>
      <c r="I39" s="551">
        <f t="shared" si="3"/>
        <v>0.10295631752117762</v>
      </c>
      <c r="J39" s="551">
        <f t="shared" si="3"/>
        <v>9.6067623846556496E-2</v>
      </c>
      <c r="K39" s="551">
        <f t="shared" si="3"/>
        <v>9.4239808966906105E-2</v>
      </c>
      <c r="L39" s="551">
        <f t="shared" si="3"/>
        <v>9.3356864033613179E-2</v>
      </c>
      <c r="M39" s="551">
        <f t="shared" si="3"/>
        <v>0.10254990520402822</v>
      </c>
      <c r="N39" s="551">
        <f t="shared" si="3"/>
        <v>0.10507558369631725</v>
      </c>
      <c r="O39" s="551">
        <f t="shared" si="3"/>
        <v>0.10524877035022924</v>
      </c>
    </row>
    <row r="40" spans="2:15" ht="16.5">
      <c r="B40" s="453" t="s">
        <v>220</v>
      </c>
      <c r="C40" s="68">
        <f>SUM('RPPS_Despesa Anual'!I35:I36)/1000</f>
        <v>11.65640366</v>
      </c>
      <c r="D40" s="68">
        <f>SUM('RPPS_Despesa Anual'!J35:J36)/1000</f>
        <v>12.17460816336</v>
      </c>
      <c r="E40" s="68">
        <f>SUM('RPPS_Despesa Anual'!K35:K36)/1000</f>
        <v>12.89478741638</v>
      </c>
      <c r="F40" s="68">
        <f>SUM('RPPS_Despesa Anual'!L35:L36)/1000</f>
        <v>14.3035</v>
      </c>
      <c r="G40" s="68">
        <f>SUM('RPPS_Despesa Anual'!M35:M36)/1000</f>
        <v>16.205738697770002</v>
      </c>
      <c r="H40" s="68">
        <f>SUM('RPPS_Despesa Anual'!N35:N36)/1000</f>
        <v>17.551599999999997</v>
      </c>
      <c r="I40" s="68">
        <f>SUM('RPPS_Despesa Anual'!O35:O36)/1000</f>
        <v>19.982659845579999</v>
      </c>
      <c r="J40" s="68">
        <f>SUM('RPPS_Despesa Anual'!P35:P36)/1000</f>
        <v>20.859325561669998</v>
      </c>
      <c r="K40" s="68">
        <f>SUM('RPPS_Despesa Anual'!Q35:Q36)/1000</f>
        <v>22.377789635599999</v>
      </c>
      <c r="L40" s="68">
        <f>SUM('RPPS_Despesa Anual'!R35:R36)/1000</f>
        <v>23.383369040360002</v>
      </c>
      <c r="M40" s="68">
        <f>SUM('RPPS_Despesa Anual'!S35:S36)/1000</f>
        <v>23.166963820880003</v>
      </c>
      <c r="N40" s="68">
        <f>SUM('RPPS_Despesa Anual'!T35:T36)/1000</f>
        <v>25.403814687840001</v>
      </c>
      <c r="O40" s="68">
        <f>SUM('RPPS_Despesa Anual'!U35:U36)/1000</f>
        <v>27.928607452129999</v>
      </c>
    </row>
    <row r="41" spans="2:15">
      <c r="B41" s="64" t="s">
        <v>106</v>
      </c>
      <c r="C41" s="550">
        <f>AVERAGE(C24:D24)*13/1000000*C$31</f>
        <v>0.76581716249999998</v>
      </c>
      <c r="D41" s="550">
        <f t="shared" ref="D41:O41" si="4">AVERAGE(D24:E24)*13/1000000*D$31</f>
        <v>0.91389499499999982</v>
      </c>
      <c r="E41" s="550">
        <f t="shared" si="4"/>
        <v>1.0219180400000001</v>
      </c>
      <c r="F41" s="550">
        <f t="shared" si="4"/>
        <v>1.1798142749784672</v>
      </c>
      <c r="G41" s="550">
        <f t="shared" si="4"/>
        <v>1.4098222124999999</v>
      </c>
      <c r="H41" s="550">
        <f t="shared" si="4"/>
        <v>1.5755439369479238</v>
      </c>
      <c r="I41" s="550">
        <f t="shared" si="4"/>
        <v>1.7436068758333338</v>
      </c>
      <c r="J41" s="550">
        <f t="shared" si="4"/>
        <v>1.8360511215449435</v>
      </c>
      <c r="K41" s="550">
        <f t="shared" si="4"/>
        <v>1.8827820474520804</v>
      </c>
      <c r="L41" s="550">
        <f t="shared" si="4"/>
        <v>2.0346813479675103</v>
      </c>
      <c r="M41" s="550">
        <f t="shared" si="4"/>
        <v>2.3461812009999998</v>
      </c>
      <c r="N41" s="550">
        <f t="shared" si="4"/>
        <v>2.5887109471052634</v>
      </c>
      <c r="O41" s="550">
        <f t="shared" si="4"/>
        <v>2.7854531639999998</v>
      </c>
    </row>
    <row r="42" spans="2:15">
      <c r="B42" s="64" t="s">
        <v>263</v>
      </c>
      <c r="C42" s="551">
        <f>C41/C40</f>
        <v>6.5699265814547117E-2</v>
      </c>
      <c r="D42" s="551">
        <f t="shared" ref="D42:O42" si="5">D41/D40</f>
        <v>7.5065659833751824E-2</v>
      </c>
      <c r="E42" s="551">
        <f t="shared" si="5"/>
        <v>7.9250475948279483E-2</v>
      </c>
      <c r="F42" s="551">
        <f t="shared" si="5"/>
        <v>8.2484306287165188E-2</v>
      </c>
      <c r="G42" s="551">
        <f t="shared" si="5"/>
        <v>8.6995245251856312E-2</v>
      </c>
      <c r="H42" s="551">
        <f t="shared" si="5"/>
        <v>8.9766399470585248E-2</v>
      </c>
      <c r="I42" s="551">
        <f t="shared" si="5"/>
        <v>8.7255995413393656E-2</v>
      </c>
      <c r="J42" s="551">
        <f t="shared" si="5"/>
        <v>8.8020636914492328E-2</v>
      </c>
      <c r="K42" s="551">
        <f t="shared" si="5"/>
        <v>8.4136193882921845E-2</v>
      </c>
      <c r="L42" s="551">
        <f t="shared" si="5"/>
        <v>8.7014037389378046E-2</v>
      </c>
      <c r="M42" s="551">
        <f t="shared" si="5"/>
        <v>0.10127270967140828</v>
      </c>
      <c r="N42" s="551">
        <f t="shared" si="5"/>
        <v>0.1019024496484143</v>
      </c>
      <c r="O42" s="551">
        <f t="shared" si="5"/>
        <v>9.9734767255198933E-2</v>
      </c>
    </row>
    <row r="43" spans="2:15" ht="16.5">
      <c r="B43" s="452" t="s">
        <v>221</v>
      </c>
      <c r="C43" s="68">
        <f>SUM('RPPS_Despesa Anual'!I43:I44)/1000</f>
        <v>0.9924366</v>
      </c>
      <c r="D43" s="68">
        <f>SUM('RPPS_Despesa Anual'!J43:J44)/1000</f>
        <v>1.1586716813</v>
      </c>
      <c r="E43" s="68">
        <f>SUM('RPPS_Despesa Anual'!K43:K44)/1000</f>
        <v>1.3241346307399999</v>
      </c>
      <c r="F43" s="68">
        <f>SUM('RPPS_Despesa Anual'!L43:L44)/1000</f>
        <v>1.4782</v>
      </c>
      <c r="G43" s="68">
        <f>SUM('RPPS_Despesa Anual'!M43:M44)/1000</f>
        <v>1.6884254662</v>
      </c>
      <c r="H43" s="68">
        <f>SUM('RPPS_Despesa Anual'!N43:N44)/1000</f>
        <v>1.8125</v>
      </c>
      <c r="I43" s="68">
        <f>SUM('RPPS_Despesa Anual'!O43:O44)/1000</f>
        <v>1.8845230237499999</v>
      </c>
      <c r="J43" s="68">
        <f>SUM('RPPS_Despesa Anual'!P43:P44)/1000</f>
        <v>1.90744636279</v>
      </c>
      <c r="K43" s="68">
        <f>SUM('RPPS_Despesa Anual'!Q43:Q44)/1000</f>
        <v>2.2126271526500001</v>
      </c>
      <c r="L43" s="68">
        <f>SUM('RPPS_Despesa Anual'!R43:R44)/1000</f>
        <v>2.6161683148399999</v>
      </c>
      <c r="M43" s="68">
        <f>SUM('RPPS_Despesa Anual'!S43:S44)/1000</f>
        <v>2.7797457059499999</v>
      </c>
      <c r="N43" s="68">
        <f>SUM('RPPS_Despesa Anual'!T43:T44)/1000</f>
        <v>3.0082486249300002</v>
      </c>
      <c r="O43" s="68">
        <f>SUM('RPPS_Despesa Anual'!U43:U44)/1000</f>
        <v>3.2391754608400003</v>
      </c>
    </row>
    <row r="44" spans="2:15">
      <c r="B44" s="64" t="s">
        <v>106</v>
      </c>
      <c r="C44" s="550">
        <f>AVERAGE(C25:D25)*13/1000000*C$31</f>
        <v>2.6306962500000006E-2</v>
      </c>
      <c r="D44" s="550">
        <f t="shared" ref="D44:O44" si="6">AVERAGE(D25:E25)*13/1000000*D$31</f>
        <v>3.1674564999999995E-2</v>
      </c>
      <c r="E44" s="550">
        <f t="shared" si="6"/>
        <v>3.5767246666666669E-2</v>
      </c>
      <c r="F44" s="550">
        <f t="shared" si="6"/>
        <v>3.8812247416020677E-2</v>
      </c>
      <c r="G44" s="550">
        <f t="shared" si="6"/>
        <v>4.5851568750000009E-2</v>
      </c>
      <c r="H44" s="550">
        <f t="shared" si="6"/>
        <v>5.3320230324296496E-2</v>
      </c>
      <c r="I44" s="550">
        <f t="shared" si="6"/>
        <v>5.8436365000000011E-2</v>
      </c>
      <c r="J44" s="550">
        <f t="shared" si="6"/>
        <v>6.2157456882022469E-2</v>
      </c>
      <c r="K44" s="550">
        <f t="shared" si="6"/>
        <v>6.4550441888733046E-2</v>
      </c>
      <c r="L44" s="550">
        <f t="shared" si="6"/>
        <v>6.7968888882518799E-2</v>
      </c>
      <c r="M44" s="550">
        <f t="shared" si="6"/>
        <v>7.7496224000000002E-2</v>
      </c>
      <c r="N44" s="550">
        <f t="shared" si="6"/>
        <v>8.6923738789392468E-2</v>
      </c>
      <c r="O44" s="550">
        <f t="shared" si="6"/>
        <v>9.4642365999999992E-2</v>
      </c>
    </row>
    <row r="45" spans="2:15">
      <c r="B45" s="64" t="s">
        <v>263</v>
      </c>
      <c r="C45" s="551">
        <f>C44/C43</f>
        <v>2.6507448939307565E-2</v>
      </c>
      <c r="D45" s="551">
        <f t="shared" ref="D45:O45" si="7">D44/D43</f>
        <v>2.7336963102836814E-2</v>
      </c>
      <c r="E45" s="551">
        <f t="shared" si="7"/>
        <v>2.7011790067508427E-2</v>
      </c>
      <c r="F45" s="551">
        <f t="shared" si="7"/>
        <v>2.6256424987160517E-2</v>
      </c>
      <c r="G45" s="551">
        <f t="shared" si="7"/>
        <v>2.7156406763512254E-2</v>
      </c>
      <c r="H45" s="551">
        <f t="shared" si="7"/>
        <v>2.9418058109956687E-2</v>
      </c>
      <c r="I45" s="551">
        <f t="shared" si="7"/>
        <v>3.1008570478336675E-2</v>
      </c>
      <c r="J45" s="551">
        <f t="shared" si="7"/>
        <v>3.2586739053100014E-2</v>
      </c>
      <c r="K45" s="551">
        <f t="shared" si="7"/>
        <v>2.9173664352542556E-2</v>
      </c>
      <c r="L45" s="551">
        <f t="shared" si="7"/>
        <v>2.5980319575377036E-2</v>
      </c>
      <c r="M45" s="551">
        <f t="shared" si="7"/>
        <v>2.7878889725099894E-2</v>
      </c>
      <c r="N45" s="551">
        <f t="shared" si="7"/>
        <v>2.8895131229858078E-2</v>
      </c>
      <c r="O45" s="551">
        <f t="shared" si="7"/>
        <v>2.9218042413626098E-2</v>
      </c>
    </row>
    <row r="46" spans="2:15" ht="16.5">
      <c r="B46" s="452" t="s">
        <v>222</v>
      </c>
      <c r="C46" s="68">
        <f>SUM('RPPS_Despesa Anual'!I47:I48)/1000</f>
        <v>2.05405068</v>
      </c>
      <c r="D46" s="68">
        <f>SUM('RPPS_Despesa Anual'!J47:J48)/1000</f>
        <v>2.4216667160100003</v>
      </c>
      <c r="E46" s="68">
        <f>SUM('RPPS_Despesa Anual'!K47:K48)/1000</f>
        <v>2.7839252679799995</v>
      </c>
      <c r="F46" s="68">
        <f>SUM('RPPS_Despesa Anual'!L47:L48)/1000</f>
        <v>2.7963</v>
      </c>
      <c r="G46" s="68">
        <f>SUM('RPPS_Despesa Anual'!M47:M48)/1000</f>
        <v>3.17277691999</v>
      </c>
      <c r="H46" s="68">
        <f>SUM('RPPS_Despesa Anual'!N47:N48)/1000</f>
        <v>3.5781000000000001</v>
      </c>
      <c r="I46" s="68">
        <f>SUM('RPPS_Despesa Anual'!O47:O48)/1000</f>
        <v>3.853642265</v>
      </c>
      <c r="J46" s="68">
        <f>SUM('RPPS_Despesa Anual'!P47:P48)/1000</f>
        <v>4.2497083474399995</v>
      </c>
      <c r="K46" s="68">
        <f>SUM('RPPS_Despesa Anual'!Q47:Q48)/1000</f>
        <v>4.6445107336700007</v>
      </c>
      <c r="L46" s="68">
        <f>SUM('RPPS_Despesa Anual'!R47:R48)/1000</f>
        <v>4.82767769287</v>
      </c>
      <c r="M46" s="68">
        <f>SUM('RPPS_Despesa Anual'!S47:S48)/1000</f>
        <v>5.1447949016400001</v>
      </c>
      <c r="N46" s="68">
        <f>SUM('RPPS_Despesa Anual'!T47:T48)/1000</f>
        <v>6.0172141231999996</v>
      </c>
      <c r="O46" s="68">
        <f>SUM('RPPS_Despesa Anual'!U47:U48)/1000</f>
        <v>7.6372575410199994</v>
      </c>
    </row>
    <row r="47" spans="2:15">
      <c r="B47" s="64" t="s">
        <v>106</v>
      </c>
      <c r="C47" s="550">
        <f>AVERAGE(C26:D26)*13/1000000*C$31</f>
        <v>5.3193172500000004E-2</v>
      </c>
      <c r="D47" s="550">
        <f t="shared" ref="D47:O47" si="8">AVERAGE(D26:E26)*13/1000000*D$31</f>
        <v>6.4087659999999991E-2</v>
      </c>
      <c r="E47" s="550">
        <f t="shared" si="8"/>
        <v>7.254060666666666E-2</v>
      </c>
      <c r="F47" s="550">
        <f t="shared" si="8"/>
        <v>8.3041069121447028E-2</v>
      </c>
      <c r="G47" s="550">
        <f t="shared" si="8"/>
        <v>9.8010168750000001E-2</v>
      </c>
      <c r="H47" s="550">
        <f t="shared" si="8"/>
        <v>0.10947767501458476</v>
      </c>
      <c r="I47" s="550">
        <f t="shared" si="8"/>
        <v>0.12054029541666667</v>
      </c>
      <c r="J47" s="550">
        <f t="shared" si="8"/>
        <v>0.1445247181460674</v>
      </c>
      <c r="K47" s="550">
        <f t="shared" si="8"/>
        <v>0.17149197115474521</v>
      </c>
      <c r="L47" s="550">
        <f t="shared" si="8"/>
        <v>0.18222843356971599</v>
      </c>
      <c r="M47" s="550">
        <f t="shared" si="8"/>
        <v>0.20581295800000002</v>
      </c>
      <c r="N47" s="550">
        <f t="shared" si="8"/>
        <v>0.2335202829052957</v>
      </c>
      <c r="O47" s="550">
        <f t="shared" si="8"/>
        <v>0.26188889999999998</v>
      </c>
    </row>
    <row r="48" spans="2:15">
      <c r="B48" s="64" t="s">
        <v>263</v>
      </c>
      <c r="C48" s="551">
        <f>C47/C46</f>
        <v>2.5896718624294119E-2</v>
      </c>
      <c r="D48" s="551">
        <f t="shared" ref="D48:O48" si="9">D47/D46</f>
        <v>2.646427750619311E-2</v>
      </c>
      <c r="E48" s="551">
        <f t="shared" si="9"/>
        <v>2.6056951851764942E-2</v>
      </c>
      <c r="F48" s="551">
        <f t="shared" si="9"/>
        <v>2.9696766842415703E-2</v>
      </c>
      <c r="G48" s="551">
        <f t="shared" si="9"/>
        <v>3.0890973813030922E-2</v>
      </c>
      <c r="H48" s="551">
        <f t="shared" si="9"/>
        <v>3.0596594565435498E-2</v>
      </c>
      <c r="I48" s="551">
        <f t="shared" si="9"/>
        <v>3.1279575821412338E-2</v>
      </c>
      <c r="J48" s="551">
        <f t="shared" si="9"/>
        <v>3.4008149814122722E-2</v>
      </c>
      <c r="K48" s="551">
        <f t="shared" si="9"/>
        <v>3.6923581618948188E-2</v>
      </c>
      <c r="L48" s="551">
        <f t="shared" si="9"/>
        <v>3.7746603059033802E-2</v>
      </c>
      <c r="M48" s="551">
        <f t="shared" si="9"/>
        <v>4.0004113270753178E-2</v>
      </c>
      <c r="N48" s="551">
        <f t="shared" si="9"/>
        <v>3.8808704181713227E-2</v>
      </c>
      <c r="O48" s="551">
        <f t="shared" si="9"/>
        <v>3.4290960936355072E-2</v>
      </c>
    </row>
    <row r="49" spans="2:15" ht="16.5">
      <c r="B49" s="452" t="s">
        <v>223</v>
      </c>
      <c r="C49" s="68">
        <f>SUM('RPPS_Despesa Anual'!I60)/1000</f>
        <v>31.628619369999999</v>
      </c>
      <c r="D49" s="68">
        <f>SUM('RPPS_Despesa Anual'!J60)/1000</f>
        <v>36.234780181269997</v>
      </c>
      <c r="E49" s="68">
        <f>SUM('RPPS_Despesa Anual'!K60)/1000</f>
        <v>39.827678726169999</v>
      </c>
      <c r="F49" s="68">
        <f>SUM('RPPS_Despesa Anual'!L60)/1000</f>
        <v>42.463300000000004</v>
      </c>
      <c r="G49" s="68">
        <f>SUM('RPPS_Despesa Anual'!M60)/1000</f>
        <v>47.07394419549</v>
      </c>
      <c r="H49" s="68">
        <f>SUM('RPPS_Despesa Anual'!N60)/1000</f>
        <v>51.6205</v>
      </c>
      <c r="I49" s="68">
        <f>SUM('RPPS_Despesa Anual'!O60)/1000</f>
        <v>57.711156593648795</v>
      </c>
      <c r="J49" s="68">
        <f>SUM('RPPS_Despesa Anual'!P60)/1000</f>
        <v>65.838138418029999</v>
      </c>
      <c r="K49" s="68">
        <f>SUM('RPPS_Despesa Anual'!Q60)/1000</f>
        <v>73.264445107609987</v>
      </c>
      <c r="L49" s="68">
        <f>SUM('RPPS_Despesa Anual'!R60)/1000</f>
        <v>78.84240638943001</v>
      </c>
      <c r="M49" s="68">
        <f>SUM('RPPS_Despesa Anual'!S60)/1000</f>
        <v>81.32394333469</v>
      </c>
      <c r="N49" s="68">
        <f>SUM('RPPS_Despesa Anual'!T60)/1000</f>
        <v>88.034048080869994</v>
      </c>
      <c r="O49" s="68">
        <f>SUM('RPPS_Despesa Anual'!U60)/1000</f>
        <v>96.10641303944999</v>
      </c>
    </row>
    <row r="50" spans="2:15">
      <c r="B50" s="64" t="s">
        <v>106</v>
      </c>
      <c r="C50" s="550">
        <f>AVERAGE(C27:D27)*13/1000000*C$31</f>
        <v>2.3843741024999998</v>
      </c>
      <c r="D50" s="550">
        <f t="shared" ref="D50:O50" si="10">AVERAGE(D27:E27)*13/1000000*D$31</f>
        <v>2.8484832999999998</v>
      </c>
      <c r="E50" s="550">
        <f t="shared" si="10"/>
        <v>3.1948017399999999</v>
      </c>
      <c r="F50" s="550">
        <f t="shared" si="10"/>
        <v>3.6419581683893201</v>
      </c>
      <c r="G50" s="550">
        <f t="shared" si="10"/>
        <v>4.2709131562499998</v>
      </c>
      <c r="H50" s="550">
        <f t="shared" si="10"/>
        <v>4.7355702485814168</v>
      </c>
      <c r="I50" s="550">
        <f t="shared" si="10"/>
        <v>5.2161902595833327</v>
      </c>
      <c r="J50" s="550">
        <f t="shared" si="10"/>
        <v>5.7722377484550558</v>
      </c>
      <c r="K50" s="550">
        <f t="shared" si="10"/>
        <v>6.2681577866760172</v>
      </c>
      <c r="L50" s="550">
        <f t="shared" si="10"/>
        <v>6.7674263600230127</v>
      </c>
      <c r="M50" s="550">
        <f t="shared" si="10"/>
        <v>7.7808222310000001</v>
      </c>
      <c r="N50" s="550">
        <f t="shared" si="10"/>
        <v>8.5417075332200305</v>
      </c>
      <c r="O50" s="550">
        <f t="shared" si="10"/>
        <v>9.1728834339999992</v>
      </c>
    </row>
    <row r="51" spans="2:15">
      <c r="B51" s="190" t="s">
        <v>263</v>
      </c>
      <c r="C51" s="552">
        <f>C50/C49</f>
        <v>7.5386600806281095E-2</v>
      </c>
      <c r="D51" s="552">
        <f t="shared" ref="D51:O51" si="11">D50/D49</f>
        <v>7.8611855398322522E-2</v>
      </c>
      <c r="E51" s="552">
        <f t="shared" si="11"/>
        <v>8.0215614923617368E-2</v>
      </c>
      <c r="F51" s="552">
        <f t="shared" si="11"/>
        <v>8.5767195870064733E-2</v>
      </c>
      <c r="G51" s="552">
        <f t="shared" si="11"/>
        <v>9.0727752459271976E-2</v>
      </c>
      <c r="H51" s="552">
        <f t="shared" si="11"/>
        <v>9.1738170854242337E-2</v>
      </c>
      <c r="I51" s="552">
        <f t="shared" si="11"/>
        <v>9.0384434613070691E-2</v>
      </c>
      <c r="J51" s="552">
        <f t="shared" si="11"/>
        <v>8.7673161592222493E-2</v>
      </c>
      <c r="K51" s="552">
        <f t="shared" si="11"/>
        <v>8.555524821718663E-2</v>
      </c>
      <c r="L51" s="552">
        <f t="shared" si="11"/>
        <v>8.5834852967276831E-2</v>
      </c>
      <c r="M51" s="552">
        <f t="shared" si="11"/>
        <v>9.5676893076592467E-2</v>
      </c>
      <c r="N51" s="552">
        <f t="shared" si="11"/>
        <v>9.7027317491675855E-2</v>
      </c>
      <c r="O51" s="552">
        <f t="shared" si="11"/>
        <v>9.5445071186193289E-2</v>
      </c>
    </row>
    <row r="52" spans="2:15" ht="16.5">
      <c r="B52" s="50" t="s">
        <v>270</v>
      </c>
      <c r="C52" s="558" t="s">
        <v>267</v>
      </c>
      <c r="D52" s="558" t="s">
        <v>267</v>
      </c>
      <c r="E52" s="558" t="s">
        <v>267</v>
      </c>
      <c r="F52" s="558" t="s">
        <v>267</v>
      </c>
      <c r="G52" s="68">
        <f>'RPPS_Despesa Anual'!M52/1000</f>
        <v>4.8348957292599994</v>
      </c>
      <c r="H52" s="68">
        <f>'RPPS_Despesa Anual'!N52/1000</f>
        <v>5.6063999999999998</v>
      </c>
      <c r="I52" s="68">
        <f>'RPPS_Despesa Anual'!O52/1000</f>
        <v>6.0823348088599998</v>
      </c>
      <c r="J52" s="68">
        <f>'RPPS_Despesa Anual'!P52/1000</f>
        <v>7.0056298720000001</v>
      </c>
      <c r="K52" s="68">
        <f>'RPPS_Despesa Anual'!Q52/1000</f>
        <v>7.0348681060700002</v>
      </c>
      <c r="L52" s="68">
        <f>'RPPS_Despesa Anual'!R52/1000</f>
        <v>8.0043059855000003</v>
      </c>
      <c r="M52" s="68">
        <f>'RPPS_Despesa Anual'!S52/1000</f>
        <v>9.0165877217199988</v>
      </c>
      <c r="N52" s="68">
        <f>'RPPS_Despesa Anual'!T52/1000</f>
        <v>9.6918485290000014</v>
      </c>
      <c r="O52" s="68">
        <f>'RPPS_Despesa Anual'!U52/1000</f>
        <v>10.465886253000001</v>
      </c>
    </row>
    <row r="53" spans="2:15">
      <c r="B53" s="191" t="s">
        <v>106</v>
      </c>
      <c r="C53" s="559" t="s">
        <v>267</v>
      </c>
      <c r="D53" s="559" t="s">
        <v>267</v>
      </c>
      <c r="E53" s="559" t="s">
        <v>267</v>
      </c>
      <c r="F53" s="559" t="s">
        <v>267</v>
      </c>
      <c r="G53" s="550">
        <f>AVERAGE(G28:H28)*13/1000000*G$31</f>
        <v>0.32228381249999999</v>
      </c>
      <c r="H53" s="550">
        <f t="shared" ref="H53:O53" si="12">AVERAGE(H28:I28)*13/1000000*H$31</f>
        <v>0.35874029439945093</v>
      </c>
      <c r="I53" s="550">
        <f t="shared" si="12"/>
        <v>0.40294549208333336</v>
      </c>
      <c r="J53" s="550">
        <f t="shared" si="12"/>
        <v>0.35312520348314608</v>
      </c>
      <c r="K53" s="550">
        <f t="shared" si="12"/>
        <v>0.27696373038803179</v>
      </c>
      <c r="L53" s="550">
        <f t="shared" si="12"/>
        <v>0.30809346113704666</v>
      </c>
      <c r="M53" s="550">
        <f t="shared" si="12"/>
        <v>0.36082966399999994</v>
      </c>
      <c r="N53" s="550">
        <f t="shared" si="12"/>
        <v>0.41604031390066598</v>
      </c>
      <c r="O53" s="550">
        <f t="shared" si="12"/>
        <v>0.46020444599999999</v>
      </c>
    </row>
    <row r="54" spans="2:15">
      <c r="B54" s="193" t="s">
        <v>263</v>
      </c>
      <c r="C54" s="560" t="s">
        <v>268</v>
      </c>
      <c r="D54" s="560" t="s">
        <v>269</v>
      </c>
      <c r="E54" s="560" t="s">
        <v>269</v>
      </c>
      <c r="F54" s="560" t="s">
        <v>269</v>
      </c>
      <c r="G54" s="552">
        <f t="shared" ref="G54:O54" si="13">G53/G52</f>
        <v>6.6657862040248553E-2</v>
      </c>
      <c r="H54" s="552">
        <f t="shared" si="13"/>
        <v>6.3987638127755944E-2</v>
      </c>
      <c r="I54" s="552">
        <f t="shared" si="13"/>
        <v>6.6248489230874258E-2</v>
      </c>
      <c r="J54" s="552">
        <f t="shared" si="13"/>
        <v>5.0405917802553594E-2</v>
      </c>
      <c r="K54" s="552">
        <f t="shared" si="13"/>
        <v>3.9370138318450494E-2</v>
      </c>
      <c r="L54" s="552">
        <f t="shared" si="13"/>
        <v>3.8490964950011364E-2</v>
      </c>
      <c r="M54" s="552">
        <f t="shared" si="13"/>
        <v>4.0018427717483381E-2</v>
      </c>
      <c r="N54" s="552">
        <f t="shared" si="13"/>
        <v>4.2926827906543105E-2</v>
      </c>
      <c r="O54" s="552">
        <f t="shared" si="13"/>
        <v>4.3971856264736722E-2</v>
      </c>
    </row>
    <row r="55" spans="2:15" ht="30.75" customHeight="1">
      <c r="B55" s="638" t="s">
        <v>271</v>
      </c>
      <c r="C55" s="638"/>
      <c r="D55" s="638"/>
      <c r="E55" s="638"/>
      <c r="F55" s="638"/>
      <c r="G55" s="638"/>
      <c r="H55" s="638"/>
      <c r="I55" s="638"/>
      <c r="J55" s="638"/>
      <c r="K55" s="638"/>
      <c r="L55" s="638"/>
      <c r="M55" s="638"/>
      <c r="N55" s="638"/>
      <c r="O55" s="638"/>
    </row>
    <row r="57" spans="2:15" ht="16.5">
      <c r="B57" s="40" t="s">
        <v>280</v>
      </c>
      <c r="C57" s="39"/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39"/>
    </row>
    <row r="58" spans="2:15" ht="16.5">
      <c r="B58" s="35"/>
      <c r="C58" s="33">
        <v>2002</v>
      </c>
      <c r="D58" s="33">
        <v>2003</v>
      </c>
      <c r="E58" s="33">
        <v>2004</v>
      </c>
      <c r="F58" s="33">
        <v>2005</v>
      </c>
      <c r="G58" s="33">
        <v>2006</v>
      </c>
      <c r="H58" s="33">
        <v>2007</v>
      </c>
      <c r="I58" s="33">
        <v>2008</v>
      </c>
      <c r="J58" s="33">
        <v>2009</v>
      </c>
      <c r="K58" s="33">
        <v>2010</v>
      </c>
      <c r="L58" s="33">
        <v>2011</v>
      </c>
      <c r="M58" s="33">
        <v>2012</v>
      </c>
      <c r="N58" s="33">
        <v>2013</v>
      </c>
      <c r="O58" s="33">
        <v>2014</v>
      </c>
    </row>
    <row r="59" spans="2:15" ht="16.5">
      <c r="B59" s="54" t="s">
        <v>264</v>
      </c>
      <c r="C59" s="56">
        <f t="shared" ref="C59:O59" si="14">C50</f>
        <v>2.3843741024999998</v>
      </c>
      <c r="D59" s="56">
        <f t="shared" si="14"/>
        <v>2.8484832999999998</v>
      </c>
      <c r="E59" s="56">
        <f t="shared" si="14"/>
        <v>3.1948017399999999</v>
      </c>
      <c r="F59" s="56">
        <f t="shared" si="14"/>
        <v>3.6419581683893201</v>
      </c>
      <c r="G59" s="56">
        <f t="shared" si="14"/>
        <v>4.2709131562499998</v>
      </c>
      <c r="H59" s="56">
        <f t="shared" si="14"/>
        <v>4.7355702485814168</v>
      </c>
      <c r="I59" s="56">
        <f t="shared" si="14"/>
        <v>5.2161902595833327</v>
      </c>
      <c r="J59" s="56">
        <f t="shared" si="14"/>
        <v>5.7722377484550558</v>
      </c>
      <c r="K59" s="56">
        <f t="shared" si="14"/>
        <v>6.2681577866760172</v>
      </c>
      <c r="L59" s="56">
        <f t="shared" si="14"/>
        <v>6.7674263600230127</v>
      </c>
      <c r="M59" s="56">
        <f t="shared" si="14"/>
        <v>7.7808222310000001</v>
      </c>
      <c r="N59" s="56">
        <f t="shared" si="14"/>
        <v>8.5417075332200305</v>
      </c>
      <c r="O59" s="56">
        <f t="shared" si="14"/>
        <v>9.1728834339999992</v>
      </c>
    </row>
    <row r="60" spans="2:15">
      <c r="B60" s="64" t="s">
        <v>57</v>
      </c>
      <c r="C60" s="60">
        <v>1.6015546171815943E-3</v>
      </c>
      <c r="D60" s="60">
        <v>1.6580707486831101E-3</v>
      </c>
      <c r="E60" s="60">
        <v>1.6318732016850485E-3</v>
      </c>
      <c r="F60" s="60">
        <v>1.6778697915918106E-3</v>
      </c>
      <c r="G60" s="60">
        <v>1.7725677205929023E-3</v>
      </c>
      <c r="H60" s="60">
        <v>1.7408501886749881E-3</v>
      </c>
      <c r="I60" s="60">
        <v>1.6773377960670312E-3</v>
      </c>
      <c r="J60" s="60">
        <v>1.73182405994228E-3</v>
      </c>
      <c r="K60" s="60">
        <v>1.6130737485742534E-3</v>
      </c>
      <c r="L60" s="60">
        <v>1.5473149386675896E-3</v>
      </c>
      <c r="M60" s="60">
        <v>1.6190102132518805E-3</v>
      </c>
      <c r="N60" s="60">
        <v>1.6066547225961748E-3</v>
      </c>
      <c r="O60" s="60">
        <v>1.6128688337489689E-3</v>
      </c>
    </row>
    <row r="61" spans="2:15">
      <c r="B61" s="553" t="s">
        <v>60</v>
      </c>
      <c r="C61" s="63">
        <f t="shared" ref="C61:O61" si="15">C59/C49</f>
        <v>7.5386600806281095E-2</v>
      </c>
      <c r="D61" s="63">
        <f t="shared" si="15"/>
        <v>7.8611855398322522E-2</v>
      </c>
      <c r="E61" s="63">
        <f t="shared" si="15"/>
        <v>8.0215614923617368E-2</v>
      </c>
      <c r="F61" s="63">
        <f t="shared" si="15"/>
        <v>8.5767195870064733E-2</v>
      </c>
      <c r="G61" s="63">
        <f t="shared" si="15"/>
        <v>9.0727752459271976E-2</v>
      </c>
      <c r="H61" s="63">
        <f t="shared" si="15"/>
        <v>9.1738170854242337E-2</v>
      </c>
      <c r="I61" s="63">
        <f t="shared" si="15"/>
        <v>9.0384434613070691E-2</v>
      </c>
      <c r="J61" s="63">
        <f t="shared" si="15"/>
        <v>8.7673161592222493E-2</v>
      </c>
      <c r="K61" s="63">
        <f t="shared" si="15"/>
        <v>8.555524821718663E-2</v>
      </c>
      <c r="L61" s="63">
        <f t="shared" si="15"/>
        <v>8.5834852967276831E-2</v>
      </c>
      <c r="M61" s="63">
        <f t="shared" si="15"/>
        <v>9.5676893076592467E-2</v>
      </c>
      <c r="N61" s="63">
        <f t="shared" si="15"/>
        <v>9.7027317491675855E-2</v>
      </c>
      <c r="O61" s="63">
        <f t="shared" si="15"/>
        <v>9.5445071186193289E-2</v>
      </c>
    </row>
    <row r="62" spans="2:15" ht="16.5">
      <c r="B62" s="18" t="s">
        <v>265</v>
      </c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</row>
    <row r="64" spans="2:15">
      <c r="B64" s="563"/>
      <c r="C64" s="564">
        <v>2002</v>
      </c>
      <c r="D64" s="564">
        <v>2003</v>
      </c>
      <c r="E64" s="564">
        <v>2004</v>
      </c>
      <c r="F64" s="564">
        <v>2005</v>
      </c>
      <c r="G64" s="564">
        <v>2006</v>
      </c>
      <c r="H64" s="564">
        <v>2007</v>
      </c>
      <c r="I64" s="564">
        <v>2008</v>
      </c>
      <c r="J64" s="564">
        <v>2009</v>
      </c>
      <c r="K64" s="564">
        <v>2010</v>
      </c>
      <c r="L64" s="564">
        <v>2011</v>
      </c>
      <c r="M64" s="564">
        <v>2012</v>
      </c>
      <c r="N64" s="564">
        <v>2013</v>
      </c>
      <c r="O64" s="564">
        <v>2014</v>
      </c>
    </row>
    <row r="65" spans="2:18">
      <c r="B65" s="565" t="s">
        <v>218</v>
      </c>
      <c r="C65" s="566">
        <v>64.42752709543899</v>
      </c>
      <c r="D65" s="566">
        <v>68.363516080081681</v>
      </c>
      <c r="E65" s="566">
        <v>66.690983319567991</v>
      </c>
      <c r="F65" s="566">
        <v>70.441725224983728</v>
      </c>
      <c r="G65" s="566">
        <v>75.020857106675635</v>
      </c>
      <c r="H65" s="566">
        <v>76.151808396493735</v>
      </c>
      <c r="I65" s="566">
        <v>78.471188409959623</v>
      </c>
      <c r="J65" s="566">
        <v>91.416319626873346</v>
      </c>
      <c r="K65" s="566">
        <v>91.392059844342242</v>
      </c>
      <c r="L65" s="566">
        <v>93.573180736869972</v>
      </c>
      <c r="M65" s="566">
        <v>88.979220278391324</v>
      </c>
      <c r="N65" s="566">
        <v>90.768586613157538</v>
      </c>
      <c r="O65" s="566">
        <v>94.349587901612111</v>
      </c>
    </row>
    <row r="66" spans="2:18" ht="16.5">
      <c r="B66" s="567" t="s">
        <v>106</v>
      </c>
      <c r="C66" s="569">
        <v>5.1954602100741401</v>
      </c>
      <c r="D66" s="569">
        <v>5.7629431462882907</v>
      </c>
      <c r="E66" s="569">
        <v>5.7626962176161074</v>
      </c>
      <c r="F66" s="569">
        <v>6.4930623307692361</v>
      </c>
      <c r="G66" s="569">
        <v>7.3346321865720325</v>
      </c>
      <c r="H66" s="569">
        <v>7.5324602329529444</v>
      </c>
      <c r="I66" s="569">
        <v>7.6054144177027752</v>
      </c>
      <c r="J66" s="569">
        <v>8.5250372160844723</v>
      </c>
      <c r="K66" s="569">
        <v>8.3016082458808178</v>
      </c>
      <c r="L66" s="569">
        <v>8.5413185836772545</v>
      </c>
      <c r="M66" s="569">
        <v>9.0889413311366649</v>
      </c>
      <c r="N66" s="569">
        <v>9.444954190392929</v>
      </c>
      <c r="O66" s="569">
        <v>9.7597018499759987</v>
      </c>
      <c r="Q66" s="15"/>
      <c r="R66" s="15"/>
    </row>
    <row r="67" spans="2:18">
      <c r="B67" s="567" t="s">
        <v>263</v>
      </c>
      <c r="C67" s="570">
        <f>C66/C65</f>
        <v>8.0640379109660751E-2</v>
      </c>
      <c r="D67" s="570">
        <f t="shared" ref="D67:O67" si="16">D66/D65</f>
        <v>8.4298518811371903E-2</v>
      </c>
      <c r="E67" s="570">
        <f t="shared" si="16"/>
        <v>8.6408925626461089E-2</v>
      </c>
      <c r="F67" s="570">
        <f t="shared" si="16"/>
        <v>9.2176367203259904E-2</v>
      </c>
      <c r="G67" s="570">
        <f t="shared" si="16"/>
        <v>9.7767907078728511E-2</v>
      </c>
      <c r="H67" s="570">
        <f t="shared" si="16"/>
        <v>9.8913740744464865E-2</v>
      </c>
      <c r="I67" s="570">
        <f t="shared" si="16"/>
        <v>9.6919832257026078E-2</v>
      </c>
      <c r="J67" s="570">
        <f t="shared" si="16"/>
        <v>9.3255091113713967E-2</v>
      </c>
      <c r="K67" s="570">
        <f t="shared" si="16"/>
        <v>9.0835114779336493E-2</v>
      </c>
      <c r="L67" s="570">
        <f t="shared" si="16"/>
        <v>9.1279558057298996E-2</v>
      </c>
      <c r="M67" s="570">
        <f t="shared" si="16"/>
        <v>0.10214678553824012</v>
      </c>
      <c r="N67" s="570">
        <f t="shared" si="16"/>
        <v>0.10405531850623548</v>
      </c>
      <c r="O67" s="570">
        <f t="shared" si="16"/>
        <v>0.10344191285873373</v>
      </c>
    </row>
    <row r="68" spans="2:18">
      <c r="B68" s="571" t="s">
        <v>219</v>
      </c>
      <c r="C68" s="568">
        <v>38.152606096708702</v>
      </c>
      <c r="D68" s="568">
        <v>42.875436190338057</v>
      </c>
      <c r="E68" s="568">
        <v>42.615528969134033</v>
      </c>
      <c r="F68" s="568">
        <v>44.05798924072775</v>
      </c>
      <c r="G68" s="568">
        <v>46.219875340414781</v>
      </c>
      <c r="H68" s="568">
        <v>47.240085025863486</v>
      </c>
      <c r="I68" s="568">
        <v>48.300458838601465</v>
      </c>
      <c r="J68" s="568">
        <v>59.465057193217881</v>
      </c>
      <c r="K68" s="568">
        <v>60.594962730529637</v>
      </c>
      <c r="L68" s="568">
        <v>62.92751777458512</v>
      </c>
      <c r="M68" s="568">
        <v>60.894817675500434</v>
      </c>
      <c r="N68" s="568">
        <v>61.58355128963187</v>
      </c>
      <c r="O68" s="568">
        <v>63.43261945210422</v>
      </c>
    </row>
    <row r="69" spans="2:18">
      <c r="B69" s="567" t="s">
        <v>106</v>
      </c>
      <c r="C69" s="569">
        <v>3.4692171911223317</v>
      </c>
      <c r="D69" s="569">
        <v>3.8496636114693032</v>
      </c>
      <c r="E69" s="569">
        <v>3.854705001673143</v>
      </c>
      <c r="F69" s="569">
        <v>4.316818170844166</v>
      </c>
      <c r="G69" s="569">
        <v>4.8290837143219267</v>
      </c>
      <c r="H69" s="569">
        <v>4.9371589234818929</v>
      </c>
      <c r="I69" s="569">
        <v>4.9728373766056215</v>
      </c>
      <c r="J69" s="569">
        <v>5.7126667464520242</v>
      </c>
      <c r="K69" s="569">
        <v>5.7104577120819089</v>
      </c>
      <c r="L69" s="569">
        <v>5.87471572085472</v>
      </c>
      <c r="M69" s="569">
        <v>6.2447577800391514</v>
      </c>
      <c r="N69" s="569">
        <v>6.4709275978501593</v>
      </c>
      <c r="O69" s="569">
        <v>6.6762051974280014</v>
      </c>
    </row>
    <row r="70" spans="2:18">
      <c r="B70" s="567" t="s">
        <v>263</v>
      </c>
      <c r="C70" s="570">
        <f>C69/C68</f>
        <v>9.093001883878149E-2</v>
      </c>
      <c r="D70" s="570">
        <f t="shared" ref="D70:O70" si="17">D69/D68</f>
        <v>8.9787159117854565E-2</v>
      </c>
      <c r="E70" s="570">
        <f t="shared" si="17"/>
        <v>9.0453060067964053E-2</v>
      </c>
      <c r="F70" s="570">
        <f t="shared" si="17"/>
        <v>9.798037189708253E-2</v>
      </c>
      <c r="G70" s="570">
        <f t="shared" si="17"/>
        <v>0.10448067370920326</v>
      </c>
      <c r="H70" s="570">
        <f t="shared" si="17"/>
        <v>0.10451206683431764</v>
      </c>
      <c r="I70" s="570">
        <f t="shared" si="17"/>
        <v>0.10295631752117761</v>
      </c>
      <c r="J70" s="570">
        <f t="shared" si="17"/>
        <v>9.6067623846556496E-2</v>
      </c>
      <c r="K70" s="570">
        <f t="shared" si="17"/>
        <v>9.4239808966906119E-2</v>
      </c>
      <c r="L70" s="570">
        <f t="shared" si="17"/>
        <v>9.3356864033613193E-2</v>
      </c>
      <c r="M70" s="570">
        <f t="shared" si="17"/>
        <v>0.10254990520402822</v>
      </c>
      <c r="N70" s="570">
        <f t="shared" si="17"/>
        <v>0.10507558369631724</v>
      </c>
      <c r="O70" s="570">
        <f t="shared" si="17"/>
        <v>0.10524877035022924</v>
      </c>
    </row>
    <row r="71" spans="2:18">
      <c r="B71" s="571" t="s">
        <v>220</v>
      </c>
      <c r="C71" s="568">
        <v>26.274920998730305</v>
      </c>
      <c r="D71" s="568">
        <v>25.488079889743638</v>
      </c>
      <c r="E71" s="568">
        <v>24.075454350433958</v>
      </c>
      <c r="F71" s="568">
        <v>26.383735984255978</v>
      </c>
      <c r="G71" s="568">
        <v>28.800981766260868</v>
      </c>
      <c r="H71" s="568">
        <v>28.911723370630245</v>
      </c>
      <c r="I71" s="568">
        <v>30.170729571358002</v>
      </c>
      <c r="J71" s="568">
        <v>31.951262433655469</v>
      </c>
      <c r="K71" s="568">
        <v>30.797097113812598</v>
      </c>
      <c r="L71" s="568">
        <v>30.64566296228487</v>
      </c>
      <c r="M71" s="568">
        <v>28.084402602890897</v>
      </c>
      <c r="N71" s="568">
        <v>29.185035323525671</v>
      </c>
      <c r="O71" s="568">
        <v>30.916968449507909</v>
      </c>
    </row>
    <row r="72" spans="2:18">
      <c r="B72" s="567" t="s">
        <v>106</v>
      </c>
      <c r="C72" s="569">
        <v>1.7262430189518083</v>
      </c>
      <c r="D72" s="569">
        <v>1.9132795348189866</v>
      </c>
      <c r="E72" s="569">
        <v>1.9079912159429668</v>
      </c>
      <c r="F72" s="569">
        <v>2.1762441599250719</v>
      </c>
      <c r="G72" s="569">
        <v>2.5055484722501067</v>
      </c>
      <c r="H72" s="569">
        <v>2.5953013094710506</v>
      </c>
      <c r="I72" s="569">
        <v>2.6325770410971536</v>
      </c>
      <c r="J72" s="569">
        <v>2.8123704696324463</v>
      </c>
      <c r="K72" s="569">
        <v>2.5911505337989098</v>
      </c>
      <c r="L72" s="569">
        <v>2.6666028628225336</v>
      </c>
      <c r="M72" s="569">
        <v>2.8441835510975122</v>
      </c>
      <c r="N72" s="569">
        <v>2.9740265925427676</v>
      </c>
      <c r="O72" s="569">
        <v>3.0834966525479994</v>
      </c>
    </row>
    <row r="73" spans="2:18">
      <c r="B73" s="567" t="s">
        <v>263</v>
      </c>
      <c r="C73" s="570">
        <f>C72/C71</f>
        <v>6.5699265814547117E-2</v>
      </c>
      <c r="D73" s="570">
        <f t="shared" ref="D73:O73" si="18">D72/D71</f>
        <v>7.5065659833751824E-2</v>
      </c>
      <c r="E73" s="570">
        <f t="shared" si="18"/>
        <v>7.925047594827947E-2</v>
      </c>
      <c r="F73" s="570">
        <f t="shared" si="18"/>
        <v>8.2484306287165188E-2</v>
      </c>
      <c r="G73" s="570">
        <f t="shared" si="18"/>
        <v>8.699524525185634E-2</v>
      </c>
      <c r="H73" s="570">
        <f t="shared" si="18"/>
        <v>8.9766399470585276E-2</v>
      </c>
      <c r="I73" s="570">
        <f t="shared" si="18"/>
        <v>8.7255995413393642E-2</v>
      </c>
      <c r="J73" s="570">
        <f t="shared" si="18"/>
        <v>8.8020636914492315E-2</v>
      </c>
      <c r="K73" s="570">
        <f t="shared" si="18"/>
        <v>8.4136193882921859E-2</v>
      </c>
      <c r="L73" s="570">
        <f t="shared" si="18"/>
        <v>8.7014037389378046E-2</v>
      </c>
      <c r="M73" s="570">
        <f t="shared" si="18"/>
        <v>0.10127270967140825</v>
      </c>
      <c r="N73" s="570">
        <f t="shared" si="18"/>
        <v>0.1019024496484143</v>
      </c>
      <c r="O73" s="570">
        <f t="shared" si="18"/>
        <v>9.973476725519892E-2</v>
      </c>
    </row>
    <row r="74" spans="2:18">
      <c r="B74" s="572" t="s">
        <v>221</v>
      </c>
      <c r="C74" s="568">
        <v>2.237070199510276</v>
      </c>
      <c r="D74" s="568">
        <v>2.4257303383148492</v>
      </c>
      <c r="E74" s="568">
        <v>2.4722503618566161</v>
      </c>
      <c r="F74" s="568">
        <v>2.7266360353708663</v>
      </c>
      <c r="G74" s="568">
        <v>3.0006846323153558</v>
      </c>
      <c r="H74" s="568">
        <v>2.9856251629063637</v>
      </c>
      <c r="I74" s="568">
        <v>2.8453386566120984</v>
      </c>
      <c r="J74" s="568">
        <v>2.9217300979095318</v>
      </c>
      <c r="K74" s="568">
        <v>3.0450949091243276</v>
      </c>
      <c r="L74" s="568">
        <v>3.4286852459461108</v>
      </c>
      <c r="M74" s="568">
        <v>3.3697768142235374</v>
      </c>
      <c r="N74" s="568">
        <v>3.4560101882082561</v>
      </c>
      <c r="O74" s="568">
        <v>3.5857672351498802</v>
      </c>
    </row>
    <row r="75" spans="2:18">
      <c r="B75" s="567" t="s">
        <v>106</v>
      </c>
      <c r="C75" s="569">
        <v>5.9299024087165218E-2</v>
      </c>
      <c r="D75" s="569">
        <v>6.6312100755944903E-2</v>
      </c>
      <c r="E75" s="569">
        <v>6.6779907768792654E-2</v>
      </c>
      <c r="F75" s="569">
        <v>7.1591714530003903E-2</v>
      </c>
      <c r="G75" s="569">
        <v>8.1487812444175994E-2</v>
      </c>
      <c r="H75" s="569">
        <v>8.7831294536928312E-2</v>
      </c>
      <c r="I75" s="569">
        <v>8.8229884268292064E-2</v>
      </c>
      <c r="J75" s="569">
        <v>9.5209656284166277E-2</v>
      </c>
      <c r="K75" s="569">
        <v>8.8836576800429223E-2</v>
      </c>
      <c r="L75" s="569">
        <v>8.9078338413060162E-2</v>
      </c>
      <c r="M75" s="569">
        <v>9.3945636201936425E-2</v>
      </c>
      <c r="N75" s="569">
        <v>9.986186792000408E-2</v>
      </c>
      <c r="O75" s="569">
        <v>0.10476909916199999</v>
      </c>
    </row>
    <row r="76" spans="2:18">
      <c r="B76" s="567" t="s">
        <v>263</v>
      </c>
      <c r="C76" s="570">
        <f>C75/C74</f>
        <v>2.6507448939307562E-2</v>
      </c>
      <c r="D76" s="570">
        <f t="shared" ref="D76:O76" si="19">D75/D74</f>
        <v>2.7336963102836818E-2</v>
      </c>
      <c r="E76" s="570">
        <f t="shared" si="19"/>
        <v>2.7011790067508427E-2</v>
      </c>
      <c r="F76" s="570">
        <f t="shared" si="19"/>
        <v>2.6256424987160517E-2</v>
      </c>
      <c r="G76" s="570">
        <f t="shared" si="19"/>
        <v>2.7156406763512251E-2</v>
      </c>
      <c r="H76" s="570">
        <f t="shared" si="19"/>
        <v>2.941805810995669E-2</v>
      </c>
      <c r="I76" s="570">
        <f t="shared" si="19"/>
        <v>3.1008570478336682E-2</v>
      </c>
      <c r="J76" s="570">
        <f t="shared" si="19"/>
        <v>3.2586739053100021E-2</v>
      </c>
      <c r="K76" s="570">
        <f t="shared" si="19"/>
        <v>2.917366435254256E-2</v>
      </c>
      <c r="L76" s="570">
        <f t="shared" si="19"/>
        <v>2.5980319575377032E-2</v>
      </c>
      <c r="M76" s="570">
        <f t="shared" si="19"/>
        <v>2.7878889725099894E-2</v>
      </c>
      <c r="N76" s="570">
        <f t="shared" si="19"/>
        <v>2.8895131229858078E-2</v>
      </c>
      <c r="O76" s="570">
        <f t="shared" si="19"/>
        <v>2.9218042413626098E-2</v>
      </c>
    </row>
    <row r="77" spans="2:18">
      <c r="B77" s="572" t="s">
        <v>222</v>
      </c>
      <c r="C77" s="568">
        <v>4.6300746712805809</v>
      </c>
      <c r="D77" s="568">
        <v>5.0698662245045307</v>
      </c>
      <c r="E77" s="568">
        <v>5.197779811331551</v>
      </c>
      <c r="F77" s="568">
        <v>5.1579572085695808</v>
      </c>
      <c r="G77" s="568">
        <v>5.6386871296165948</v>
      </c>
      <c r="H77" s="568">
        <v>5.8939947009077294</v>
      </c>
      <c r="I77" s="568">
        <v>5.818404533758196</v>
      </c>
      <c r="J77" s="568">
        <v>6.5094888266694699</v>
      </c>
      <c r="K77" s="568">
        <v>6.3919381869345582</v>
      </c>
      <c r="L77" s="568">
        <v>6.3270345351380248</v>
      </c>
      <c r="M77" s="568">
        <v>6.2368332960719322</v>
      </c>
      <c r="N77" s="568">
        <v>6.9128439524820555</v>
      </c>
      <c r="O77" s="568">
        <v>8.4544440979091391</v>
      </c>
    </row>
    <row r="78" spans="2:18">
      <c r="B78" s="567" t="s">
        <v>106</v>
      </c>
      <c r="C78" s="569">
        <v>0.11990374097162429</v>
      </c>
      <c r="D78" s="569">
        <v>0.13417034668456346</v>
      </c>
      <c r="E78" s="569">
        <v>0.13543829827994208</v>
      </c>
      <c r="F78" s="569">
        <v>0.15317465260604815</v>
      </c>
      <c r="G78" s="569">
        <v>0.17418453646086074</v>
      </c>
      <c r="H78" s="569">
        <v>0.18033616623449905</v>
      </c>
      <c r="I78" s="569">
        <v>0.18199722577333879</v>
      </c>
      <c r="J78" s="569">
        <v>0.22137567123073326</v>
      </c>
      <c r="K78" s="569">
        <v>0.23601325134854989</v>
      </c>
      <c r="L78" s="569">
        <v>0.23882406113865348</v>
      </c>
      <c r="M78" s="569">
        <v>0.24949898562686645</v>
      </c>
      <c r="N78" s="569">
        <v>0.26827851600622127</v>
      </c>
      <c r="O78" s="569">
        <v>0.28991101229999994</v>
      </c>
    </row>
    <row r="79" spans="2:18">
      <c r="B79" s="567" t="s">
        <v>263</v>
      </c>
      <c r="C79" s="570">
        <f>C78/C77</f>
        <v>2.5896718624294119E-2</v>
      </c>
      <c r="D79" s="570">
        <f t="shared" ref="D79:O79" si="20">D78/D77</f>
        <v>2.6464277506193113E-2</v>
      </c>
      <c r="E79" s="570">
        <f t="shared" si="20"/>
        <v>2.6056951851764942E-2</v>
      </c>
      <c r="F79" s="570">
        <f t="shared" si="20"/>
        <v>2.9696766842415696E-2</v>
      </c>
      <c r="G79" s="570">
        <f t="shared" si="20"/>
        <v>3.0890973813030926E-2</v>
      </c>
      <c r="H79" s="570">
        <f t="shared" si="20"/>
        <v>3.0596594565435498E-2</v>
      </c>
      <c r="I79" s="570">
        <f t="shared" si="20"/>
        <v>3.1279575821412338E-2</v>
      </c>
      <c r="J79" s="570">
        <f t="shared" si="20"/>
        <v>3.4008149814122722E-2</v>
      </c>
      <c r="K79" s="570">
        <f t="shared" si="20"/>
        <v>3.6923581618948195E-2</v>
      </c>
      <c r="L79" s="570">
        <f t="shared" si="20"/>
        <v>3.7746603059033802E-2</v>
      </c>
      <c r="M79" s="570">
        <f t="shared" si="20"/>
        <v>4.0004113270753178E-2</v>
      </c>
      <c r="N79" s="570">
        <f t="shared" si="20"/>
        <v>3.8808704181713213E-2</v>
      </c>
      <c r="O79" s="570">
        <f t="shared" si="20"/>
        <v>3.4290960936355065E-2</v>
      </c>
    </row>
    <row r="80" spans="2:18">
      <c r="B80" s="572" t="s">
        <v>223</v>
      </c>
      <c r="C80" s="568">
        <v>71.294671966229856</v>
      </c>
      <c r="D80" s="568">
        <v>75.859112642901067</v>
      </c>
      <c r="E80" s="568">
        <v>74.361013492756157</v>
      </c>
      <c r="F80" s="568">
        <v>78.326318468924171</v>
      </c>
      <c r="G80" s="568">
        <v>83.660228868607604</v>
      </c>
      <c r="H80" s="568">
        <v>85.031428260307834</v>
      </c>
      <c r="I80" s="568">
        <v>87.134931600329892</v>
      </c>
      <c r="J80" s="568">
        <v>100.84753855145236</v>
      </c>
      <c r="K80" s="568">
        <v>100.82909294040111</v>
      </c>
      <c r="L80" s="568">
        <v>103.32890051795412</v>
      </c>
      <c r="M80" s="568">
        <v>98.585830388686801</v>
      </c>
      <c r="N80" s="568">
        <v>101.13744075384787</v>
      </c>
      <c r="O80" s="568">
        <v>106.38979923467112</v>
      </c>
    </row>
    <row r="81" spans="2:15">
      <c r="B81" s="567" t="s">
        <v>106</v>
      </c>
      <c r="C81" s="569">
        <v>5.3746629751329289</v>
      </c>
      <c r="D81" s="569">
        <v>5.9634255937287985</v>
      </c>
      <c r="E81" s="569">
        <v>5.9649144236648421</v>
      </c>
      <c r="F81" s="569">
        <v>6.717828697905289</v>
      </c>
      <c r="G81" s="569">
        <v>7.5903045354770695</v>
      </c>
      <c r="H81" s="569">
        <v>7.8006276937243708</v>
      </c>
      <c r="I81" s="569">
        <v>7.8756415277444045</v>
      </c>
      <c r="J81" s="569">
        <v>8.8416225435993692</v>
      </c>
      <c r="K81" s="569">
        <v>8.6264580740297987</v>
      </c>
      <c r="L81" s="569">
        <v>8.8692209832289688</v>
      </c>
      <c r="M81" s="569">
        <v>9.4323859529654666</v>
      </c>
      <c r="N81" s="569">
        <v>9.8130945743191536</v>
      </c>
      <c r="O81" s="569">
        <v>10.154381961437998</v>
      </c>
    </row>
    <row r="82" spans="2:15">
      <c r="B82" s="573" t="s">
        <v>263</v>
      </c>
      <c r="C82" s="574">
        <f>C81/C80</f>
        <v>7.5386600806281082E-2</v>
      </c>
      <c r="D82" s="574">
        <f t="shared" ref="D82:O82" si="21">D81/D80</f>
        <v>7.8611855398322522E-2</v>
      </c>
      <c r="E82" s="574">
        <f t="shared" si="21"/>
        <v>8.0215614923617354E-2</v>
      </c>
      <c r="F82" s="574">
        <f t="shared" si="21"/>
        <v>8.5767195870064747E-2</v>
      </c>
      <c r="G82" s="574">
        <f t="shared" si="21"/>
        <v>9.0727752459271976E-2</v>
      </c>
      <c r="H82" s="574">
        <f t="shared" si="21"/>
        <v>9.1738170854242337E-2</v>
      </c>
      <c r="I82" s="574">
        <f t="shared" si="21"/>
        <v>9.0384434613070691E-2</v>
      </c>
      <c r="J82" s="574">
        <f t="shared" si="21"/>
        <v>8.7673161592222479E-2</v>
      </c>
      <c r="K82" s="574">
        <f t="shared" si="21"/>
        <v>8.5555248217186644E-2</v>
      </c>
      <c r="L82" s="574">
        <f t="shared" si="21"/>
        <v>8.5834852967276845E-2</v>
      </c>
      <c r="M82" s="574">
        <f t="shared" si="21"/>
        <v>9.5676893076592454E-2</v>
      </c>
      <c r="N82" s="574">
        <f t="shared" si="21"/>
        <v>9.7027317491675855E-2</v>
      </c>
      <c r="O82" s="574">
        <f t="shared" si="21"/>
        <v>9.5445071186193303E-2</v>
      </c>
    </row>
    <row r="83" spans="2:15" ht="16.5">
      <c r="B83" s="50" t="s">
        <v>270</v>
      </c>
      <c r="C83" s="558" t="s">
        <v>267</v>
      </c>
      <c r="D83" s="558" t="s">
        <v>267</v>
      </c>
      <c r="E83" s="558" t="s">
        <v>267</v>
      </c>
      <c r="F83" s="558" t="s">
        <v>267</v>
      </c>
      <c r="G83" s="68">
        <v>8.59261933918207</v>
      </c>
      <c r="H83" s="68">
        <v>9.2350945728652345</v>
      </c>
      <c r="I83" s="68">
        <v>9.1833860005960659</v>
      </c>
      <c r="J83" s="68">
        <v>10.730870367383423</v>
      </c>
      <c r="K83" s="68">
        <v>9.6816316434056837</v>
      </c>
      <c r="L83" s="68">
        <v>10.490244714320086</v>
      </c>
      <c r="M83" s="68">
        <v>10.930456042446066</v>
      </c>
      <c r="N83" s="68">
        <v>11.134427846559594</v>
      </c>
      <c r="O83" s="68">
        <v>11.585736082071</v>
      </c>
    </row>
    <row r="84" spans="2:15">
      <c r="B84" s="191" t="s">
        <v>106</v>
      </c>
      <c r="C84" s="559" t="s">
        <v>267</v>
      </c>
      <c r="D84" s="559" t="s">
        <v>267</v>
      </c>
      <c r="E84" s="559" t="s">
        <v>267</v>
      </c>
      <c r="F84" s="559" t="s">
        <v>267</v>
      </c>
      <c r="G84" s="550">
        <v>0.57276563447557016</v>
      </c>
      <c r="H84" s="550">
        <v>0.59093188960410337</v>
      </c>
      <c r="I84" s="550">
        <v>0.60838544856345</v>
      </c>
      <c r="J84" s="550">
        <v>0.54089936968818697</v>
      </c>
      <c r="K84" s="550">
        <v>0.38116717694916902</v>
      </c>
      <c r="L84" s="550">
        <v>0.40377964161593638</v>
      </c>
      <c r="M84" s="550">
        <v>0.43741966505375734</v>
      </c>
      <c r="N84" s="550">
        <v>0.47796566800708501</v>
      </c>
      <c r="O84" s="550">
        <v>0.50944632172199988</v>
      </c>
    </row>
    <row r="85" spans="2:15">
      <c r="B85" s="193" t="s">
        <v>263</v>
      </c>
      <c r="C85" s="560" t="s">
        <v>268</v>
      </c>
      <c r="D85" s="560" t="s">
        <v>269</v>
      </c>
      <c r="E85" s="560" t="s">
        <v>269</v>
      </c>
      <c r="F85" s="560" t="s">
        <v>269</v>
      </c>
      <c r="G85" s="552">
        <f t="shared" ref="G85:O85" si="22">G84/G83</f>
        <v>6.6657862040248553E-2</v>
      </c>
      <c r="H85" s="552">
        <f t="shared" si="22"/>
        <v>6.398763812775593E-2</v>
      </c>
      <c r="I85" s="552">
        <f t="shared" si="22"/>
        <v>6.6248489230874272E-2</v>
      </c>
      <c r="J85" s="552">
        <f t="shared" si="22"/>
        <v>5.0405917802553601E-2</v>
      </c>
      <c r="K85" s="552">
        <f t="shared" si="22"/>
        <v>3.9370138318450501E-2</v>
      </c>
      <c r="L85" s="552">
        <f t="shared" si="22"/>
        <v>3.8490964950011364E-2</v>
      </c>
      <c r="M85" s="552">
        <f t="shared" si="22"/>
        <v>4.0018427717483381E-2</v>
      </c>
      <c r="N85" s="552">
        <f t="shared" si="22"/>
        <v>4.2926827906543098E-2</v>
      </c>
      <c r="O85" s="552">
        <f t="shared" si="22"/>
        <v>4.3971856264736715E-2</v>
      </c>
    </row>
    <row r="86" spans="2:15" ht="26.25" customHeight="1">
      <c r="B86" s="638" t="s">
        <v>271</v>
      </c>
      <c r="C86" s="638"/>
      <c r="D86" s="638"/>
      <c r="E86" s="638"/>
      <c r="F86" s="638"/>
      <c r="G86" s="638"/>
      <c r="H86" s="638"/>
      <c r="I86" s="638"/>
      <c r="J86" s="638"/>
      <c r="K86" s="638"/>
      <c r="L86" s="638"/>
      <c r="M86" s="638"/>
      <c r="N86" s="638"/>
      <c r="O86" s="638"/>
    </row>
  </sheetData>
  <mergeCells count="17">
    <mergeCell ref="B86:O86"/>
    <mergeCell ref="B55:O55"/>
    <mergeCell ref="E14:E15"/>
    <mergeCell ref="E16:E17"/>
    <mergeCell ref="B16:B17"/>
    <mergeCell ref="B2:G2"/>
    <mergeCell ref="B8:B9"/>
    <mergeCell ref="B10:B11"/>
    <mergeCell ref="B12:B13"/>
    <mergeCell ref="B14:B15"/>
    <mergeCell ref="E4:E5"/>
    <mergeCell ref="E6:E7"/>
    <mergeCell ref="E8:E9"/>
    <mergeCell ref="E10:E11"/>
    <mergeCell ref="E12:E13"/>
    <mergeCell ref="B4:B5"/>
    <mergeCell ref="B6:B7"/>
  </mergeCells>
  <pageMargins left="0.511811024" right="0.511811024" top="0.78740157499999996" bottom="0.78740157499999996" header="0.31496062000000002" footer="0.31496062000000002"/>
  <pageSetup paperSize="9" orientation="portrait" r:id="rId1"/>
  <ignoredErrors>
    <ignoredError sqref="C67:O67 C70:O70 C73:O73 C76:O76 C79:O79 C82:O82" formula="1"/>
    <ignoredError sqref="C22:P28 C34:O52 C54:O54 C53:F53" formulaRange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5" tint="0.79998168889431442"/>
  </sheetPr>
  <dimension ref="A1:XFA122"/>
  <sheetViews>
    <sheetView showGridLines="0" workbookViewId="0">
      <selection activeCell="J15" sqref="J15"/>
    </sheetView>
  </sheetViews>
  <sheetFormatPr defaultRowHeight="15.75"/>
  <cols>
    <col min="1" max="1" width="39.140625" style="200" customWidth="1"/>
    <col min="2" max="4" width="7.85546875" style="202" bestFit="1" customWidth="1"/>
    <col min="5" max="7" width="7.85546875" style="262" bestFit="1" customWidth="1"/>
    <col min="8" max="9" width="7.85546875" style="202" bestFit="1" customWidth="1"/>
    <col min="10" max="11" width="7.85546875" style="200" bestFit="1" customWidth="1"/>
    <col min="12" max="12" width="9" style="200" bestFit="1" customWidth="1"/>
    <col min="13" max="15" width="8.85546875" style="200" bestFit="1" customWidth="1"/>
    <col min="16" max="21" width="8.85546875" style="206" bestFit="1" customWidth="1"/>
    <col min="22" max="22" width="9.28515625" style="206" customWidth="1"/>
    <col min="23" max="28" width="8.28515625" style="200" customWidth="1"/>
    <col min="29" max="1021" width="9.140625" style="200" customWidth="1"/>
    <col min="16382" max="16384" width="9.140625" style="200"/>
  </cols>
  <sheetData>
    <row r="1" spans="1:22" ht="17.100000000000001" customHeight="1">
      <c r="A1" s="195" t="s">
        <v>114</v>
      </c>
      <c r="B1" s="196"/>
      <c r="C1" s="196"/>
      <c r="D1" s="197"/>
      <c r="E1" s="197"/>
      <c r="F1" s="197"/>
      <c r="G1" s="198"/>
      <c r="H1" s="196"/>
      <c r="I1" s="196"/>
      <c r="J1" s="196"/>
      <c r="K1" s="196"/>
      <c r="L1" s="196"/>
      <c r="M1" s="196"/>
      <c r="N1" s="196"/>
      <c r="O1" s="196"/>
      <c r="P1" s="196"/>
      <c r="Q1" s="196"/>
      <c r="R1" s="196"/>
      <c r="S1" s="196"/>
      <c r="T1" s="196"/>
      <c r="U1" s="196"/>
      <c r="V1" s="196"/>
    </row>
    <row r="2" spans="1:22" ht="13.5" customHeight="1">
      <c r="A2" s="201"/>
      <c r="B2" s="196"/>
      <c r="C2" s="196"/>
      <c r="D2" s="197"/>
      <c r="E2" s="197"/>
      <c r="F2" s="197"/>
      <c r="G2" s="198"/>
      <c r="H2" s="196"/>
      <c r="I2" s="549"/>
      <c r="J2" s="549"/>
      <c r="K2" s="549"/>
      <c r="L2" s="549"/>
      <c r="M2" s="549"/>
      <c r="N2" s="549"/>
      <c r="O2" s="549"/>
      <c r="P2" s="549"/>
      <c r="Q2" s="549"/>
      <c r="R2" s="549"/>
      <c r="S2" s="549"/>
      <c r="T2" s="549"/>
      <c r="U2" s="549"/>
      <c r="V2" s="549"/>
    </row>
    <row r="3" spans="1:22" ht="13.5" customHeight="1">
      <c r="A3" s="201"/>
      <c r="B3" s="196"/>
      <c r="C3" s="196"/>
      <c r="D3" s="197"/>
      <c r="E3" s="197"/>
      <c r="F3" s="197"/>
      <c r="G3" s="198"/>
      <c r="L3" s="203" t="s">
        <v>115</v>
      </c>
      <c r="M3" s="204"/>
      <c r="N3" s="204"/>
      <c r="O3" s="204"/>
      <c r="P3" s="205"/>
      <c r="S3" s="207"/>
      <c r="V3" s="203" t="s">
        <v>116</v>
      </c>
    </row>
    <row r="4" spans="1:22" ht="15" customHeight="1">
      <c r="A4" s="208" t="s">
        <v>117</v>
      </c>
      <c r="B4" s="639" t="s">
        <v>118</v>
      </c>
      <c r="C4" s="639"/>
      <c r="D4" s="639"/>
      <c r="E4" s="639"/>
      <c r="F4" s="639"/>
      <c r="G4" s="639"/>
      <c r="H4" s="639"/>
      <c r="I4" s="639"/>
      <c r="J4" s="639"/>
      <c r="K4" s="639"/>
      <c r="L4" s="639"/>
      <c r="M4" s="640" t="s">
        <v>118</v>
      </c>
      <c r="N4" s="640"/>
      <c r="O4" s="640"/>
      <c r="P4" s="640"/>
      <c r="Q4" s="640"/>
      <c r="R4" s="640"/>
      <c r="S4" s="640"/>
      <c r="T4" s="640"/>
      <c r="U4" s="640"/>
      <c r="V4" s="640"/>
    </row>
    <row r="5" spans="1:22" ht="15" customHeight="1">
      <c r="A5" s="209"/>
      <c r="B5" s="210"/>
      <c r="C5" s="211"/>
      <c r="D5" s="211"/>
      <c r="E5" s="211"/>
      <c r="F5" s="211"/>
      <c r="G5" s="211"/>
      <c r="H5" s="211"/>
      <c r="I5" s="211"/>
      <c r="J5" s="211"/>
      <c r="K5" s="211"/>
      <c r="L5" s="211"/>
      <c r="M5" s="212"/>
      <c r="N5" s="212"/>
      <c r="O5" s="212"/>
      <c r="P5" s="212"/>
      <c r="Q5" s="212"/>
      <c r="R5" s="212"/>
      <c r="S5" s="212"/>
      <c r="T5" s="212"/>
      <c r="U5" s="212"/>
      <c r="V5" s="212"/>
    </row>
    <row r="6" spans="1:22" s="219" customFormat="1" ht="15" customHeight="1">
      <c r="A6" s="213"/>
      <c r="B6" s="214">
        <v>1995</v>
      </c>
      <c r="C6" s="215">
        <v>1996</v>
      </c>
      <c r="D6" s="215">
        <v>1997</v>
      </c>
      <c r="E6" s="215">
        <v>1998</v>
      </c>
      <c r="F6" s="215">
        <v>1999</v>
      </c>
      <c r="G6" s="215" t="s">
        <v>119</v>
      </c>
      <c r="H6" s="215">
        <v>2001</v>
      </c>
      <c r="I6" s="216">
        <v>2002</v>
      </c>
      <c r="J6" s="217">
        <v>2003</v>
      </c>
      <c r="K6" s="217">
        <v>2004</v>
      </c>
      <c r="L6" s="217">
        <v>2005</v>
      </c>
      <c r="M6" s="217">
        <v>2006</v>
      </c>
      <c r="N6" s="217">
        <v>2007</v>
      </c>
      <c r="O6" s="217">
        <v>2008</v>
      </c>
      <c r="P6" s="217">
        <v>2009</v>
      </c>
      <c r="Q6" s="217" t="s">
        <v>120</v>
      </c>
      <c r="R6" s="217">
        <v>2011</v>
      </c>
      <c r="S6" s="217">
        <v>2012</v>
      </c>
      <c r="T6" s="217">
        <v>2013</v>
      </c>
      <c r="U6" s="217">
        <v>2014</v>
      </c>
      <c r="V6" s="218" t="s">
        <v>121</v>
      </c>
    </row>
    <row r="7" spans="1:22" s="225" customFormat="1" ht="15" customHeight="1">
      <c r="A7" s="220" t="s">
        <v>122</v>
      </c>
      <c r="B7" s="221">
        <v>31548.756000000001</v>
      </c>
      <c r="C7" s="222">
        <v>34220.052000000003</v>
      </c>
      <c r="D7" s="222">
        <v>36502.639000000003</v>
      </c>
      <c r="E7" s="222">
        <v>38371.601999999999</v>
      </c>
      <c r="F7" s="222">
        <v>41418.345999999998</v>
      </c>
      <c r="G7" s="222">
        <v>46641.62</v>
      </c>
      <c r="H7" s="222">
        <v>51820.702619999996</v>
      </c>
      <c r="I7" s="222">
        <v>59523.444969999997</v>
      </c>
      <c r="J7" s="222">
        <v>64777.843523490003</v>
      </c>
      <c r="K7" s="223">
        <v>72701.131121590006</v>
      </c>
      <c r="L7" s="223">
        <v>76838.900893419996</v>
      </c>
      <c r="M7" s="224">
        <v>87308.505489250005</v>
      </c>
      <c r="N7" s="223">
        <v>96727</v>
      </c>
      <c r="O7" s="223">
        <v>110286.00884277</v>
      </c>
      <c r="P7" s="223">
        <v>127645.93060358299</v>
      </c>
      <c r="Q7" s="223">
        <v>140252.61970953</v>
      </c>
      <c r="R7" s="223">
        <v>151077.11203614</v>
      </c>
      <c r="S7" s="223">
        <v>156848.75065919</v>
      </c>
      <c r="T7" s="223">
        <v>170880.80936859001</v>
      </c>
      <c r="U7" s="223">
        <v>185868.62583924999</v>
      </c>
      <c r="V7" s="223">
        <v>192712.915027938</v>
      </c>
    </row>
    <row r="8" spans="1:22" s="225" customFormat="1" ht="13.5" customHeight="1">
      <c r="A8" s="226" t="s">
        <v>123</v>
      </c>
      <c r="B8" s="227">
        <v>17335.8</v>
      </c>
      <c r="C8" s="228">
        <v>18631.348000000002</v>
      </c>
      <c r="D8" s="228">
        <v>19584.633999999998</v>
      </c>
      <c r="E8" s="228">
        <v>19306.091</v>
      </c>
      <c r="F8" s="228">
        <v>20491.796999999999</v>
      </c>
      <c r="G8" s="228">
        <v>24343.38</v>
      </c>
      <c r="H8" s="228">
        <v>26076.66315</v>
      </c>
      <c r="I8" s="228">
        <v>30941.312880000001</v>
      </c>
      <c r="J8" s="228">
        <v>32123.301739530001</v>
      </c>
      <c r="K8" s="228">
        <v>36981.512294139997</v>
      </c>
      <c r="L8" s="228">
        <v>38650.10089342</v>
      </c>
      <c r="M8" s="227">
        <v>45095.763679950003</v>
      </c>
      <c r="N8" s="228">
        <v>50497</v>
      </c>
      <c r="O8" s="228">
        <v>58313.017537871201</v>
      </c>
      <c r="P8" s="228">
        <v>67964.946895782996</v>
      </c>
      <c r="Q8" s="228">
        <v>74282.529221620003</v>
      </c>
      <c r="R8" s="228">
        <v>80158.524078620001</v>
      </c>
      <c r="S8" s="228">
        <v>83960.838008310006</v>
      </c>
      <c r="T8" s="228">
        <v>92448.814476920001</v>
      </c>
      <c r="U8" s="228">
        <v>101175.39228016</v>
      </c>
      <c r="V8" s="228">
        <v>105333.030198978</v>
      </c>
    </row>
    <row r="9" spans="1:22" s="225" customFormat="1" ht="13.5" customHeight="1">
      <c r="A9" s="226" t="s">
        <v>124</v>
      </c>
      <c r="B9" s="227">
        <v>9601.3989999999994</v>
      </c>
      <c r="C9" s="228">
        <v>10602.249</v>
      </c>
      <c r="D9" s="228">
        <v>11336.909</v>
      </c>
      <c r="E9" s="228">
        <v>12718.163</v>
      </c>
      <c r="F9" s="228">
        <v>13781.333000000001</v>
      </c>
      <c r="G9" s="228">
        <v>14479.64</v>
      </c>
      <c r="H9" s="228">
        <v>16817.156279999999</v>
      </c>
      <c r="I9" s="228">
        <v>18491.913</v>
      </c>
      <c r="J9" s="228">
        <v>21550.992990989998</v>
      </c>
      <c r="K9" s="228">
        <v>23545.757485729999</v>
      </c>
      <c r="L9" s="228">
        <v>24420.7</v>
      </c>
      <c r="M9" s="227">
        <v>26699.145135399998</v>
      </c>
      <c r="N9" s="228">
        <v>28948.9</v>
      </c>
      <c r="O9" s="228">
        <v>32457.891275609101</v>
      </c>
      <c r="P9" s="228">
        <v>36649.843306310002</v>
      </c>
      <c r="Q9" s="228">
        <v>40743.083260849999</v>
      </c>
      <c r="R9" s="228">
        <v>44321.412678239998</v>
      </c>
      <c r="S9" s="228">
        <v>45233.321237850003</v>
      </c>
      <c r="T9" s="228">
        <v>49011.188749009998</v>
      </c>
      <c r="U9" s="228">
        <v>52341.71002649</v>
      </c>
      <c r="V9" s="228">
        <v>54038.95365512</v>
      </c>
    </row>
    <row r="10" spans="1:22" s="225" customFormat="1" ht="13.5" customHeight="1">
      <c r="A10" s="229" t="s">
        <v>125</v>
      </c>
      <c r="B10" s="230">
        <v>4611.5569999999998</v>
      </c>
      <c r="C10" s="231">
        <v>4986.4549999999999</v>
      </c>
      <c r="D10" s="231">
        <v>5581.0959999999995</v>
      </c>
      <c r="E10" s="231">
        <v>6347.348</v>
      </c>
      <c r="F10" s="231">
        <v>7145.2160000000003</v>
      </c>
      <c r="G10" s="231">
        <v>7818.6</v>
      </c>
      <c r="H10" s="231">
        <v>8926.8831900000005</v>
      </c>
      <c r="I10" s="231">
        <v>10090.219090000001</v>
      </c>
      <c r="J10" s="231">
        <v>11103.448792970001</v>
      </c>
      <c r="K10" s="231">
        <v>12173.861341719999</v>
      </c>
      <c r="L10" s="231">
        <v>13768.1</v>
      </c>
      <c r="M10" s="230">
        <v>15513.5966739</v>
      </c>
      <c r="N10" s="231">
        <v>17281</v>
      </c>
      <c r="O10" s="231">
        <v>19515.100029289701</v>
      </c>
      <c r="P10" s="231">
        <v>23031.14040149</v>
      </c>
      <c r="Q10" s="231">
        <v>25227.007227059999</v>
      </c>
      <c r="R10" s="231">
        <v>26597.17527928</v>
      </c>
      <c r="S10" s="231">
        <v>27654.591413030001</v>
      </c>
      <c r="T10" s="231">
        <v>29420.80614266</v>
      </c>
      <c r="U10" s="231">
        <v>32351.5235326</v>
      </c>
      <c r="V10" s="231">
        <v>33340.931173839999</v>
      </c>
    </row>
    <row r="11" spans="1:22" s="584" customFormat="1" ht="15" customHeight="1">
      <c r="A11" s="581" t="s">
        <v>126</v>
      </c>
      <c r="B11" s="582">
        <v>23142.123</v>
      </c>
      <c r="C11" s="583">
        <v>25165.672999999999</v>
      </c>
      <c r="D11" s="583">
        <v>26714.15</v>
      </c>
      <c r="E11" s="583">
        <v>26469.366000000002</v>
      </c>
      <c r="F11" s="583">
        <v>29886.191999999999</v>
      </c>
      <c r="G11" s="583">
        <v>33025.339999999997</v>
      </c>
      <c r="H11" s="583">
        <v>34570.946409999997</v>
      </c>
      <c r="I11" s="583">
        <v>39573.13654</v>
      </c>
      <c r="J11" s="583">
        <v>44704.47518953</v>
      </c>
      <c r="K11" s="583">
        <v>52081.49243672</v>
      </c>
      <c r="L11" s="583">
        <v>54278.700893419998</v>
      </c>
      <c r="M11" s="582">
        <v>61467.12890199</v>
      </c>
      <c r="N11" s="583">
        <v>68959.3</v>
      </c>
      <c r="O11" s="583">
        <v>78343.262919650006</v>
      </c>
      <c r="P11" s="583">
        <v>93522.115326782994</v>
      </c>
      <c r="Q11" s="583">
        <v>103237.33142625001</v>
      </c>
      <c r="R11" s="583">
        <v>111961.93244757999</v>
      </c>
      <c r="S11" s="583">
        <v>117589.56584965</v>
      </c>
      <c r="T11" s="583">
        <v>128427.54373398</v>
      </c>
      <c r="U11" s="583">
        <v>139943.3053873</v>
      </c>
      <c r="V11" s="583">
        <v>144543.523184541</v>
      </c>
    </row>
    <row r="12" spans="1:22" s="584" customFormat="1" ht="13.5" customHeight="1">
      <c r="A12" s="585" t="s">
        <v>127</v>
      </c>
      <c r="B12" s="586">
        <v>13471.165000000001</v>
      </c>
      <c r="C12" s="587">
        <v>14534.593999999999</v>
      </c>
      <c r="D12" s="587">
        <v>15361.888000000001</v>
      </c>
      <c r="E12" s="587">
        <v>14038.174000000001</v>
      </c>
      <c r="F12" s="587">
        <v>16351.54</v>
      </c>
      <c r="G12" s="587">
        <v>18573.84</v>
      </c>
      <c r="H12" s="587">
        <v>19701.053169999999</v>
      </c>
      <c r="I12" s="587">
        <v>22647.40811</v>
      </c>
      <c r="J12" s="587">
        <v>24224.641568930001</v>
      </c>
      <c r="K12" s="587">
        <v>29256.661025649999</v>
      </c>
      <c r="L12" s="587">
        <v>30393.400893419999</v>
      </c>
      <c r="M12" s="586">
        <v>35460.125790459999</v>
      </c>
      <c r="N12" s="587">
        <v>40280.9</v>
      </c>
      <c r="O12" s="587">
        <v>46352.931460331201</v>
      </c>
      <c r="P12" s="587">
        <v>54700.457180653</v>
      </c>
      <c r="Q12" s="587">
        <v>59645.030573939999</v>
      </c>
      <c r="R12" s="587">
        <v>64426.713530419998</v>
      </c>
      <c r="S12" s="587">
        <v>67868.617019650002</v>
      </c>
      <c r="T12" s="587">
        <v>75399.363530150003</v>
      </c>
      <c r="U12" s="587">
        <v>83178.679280340002</v>
      </c>
      <c r="V12" s="587">
        <v>86451.561674291093</v>
      </c>
    </row>
    <row r="13" spans="1:22" s="584" customFormat="1" ht="13.5" customHeight="1">
      <c r="A13" s="585" t="s">
        <v>128</v>
      </c>
      <c r="B13" s="586">
        <v>7002.3810000000003</v>
      </c>
      <c r="C13" s="587">
        <v>7678.1880000000001</v>
      </c>
      <c r="D13" s="587">
        <v>8265.8420000000006</v>
      </c>
      <c r="E13" s="587">
        <v>9002.5259999999998</v>
      </c>
      <c r="F13" s="587">
        <v>9668.35</v>
      </c>
      <c r="G13" s="587">
        <v>10117.450000000001</v>
      </c>
      <c r="H13" s="587">
        <v>10414.37847</v>
      </c>
      <c r="I13" s="587">
        <v>11878.316720000001</v>
      </c>
      <c r="J13" s="587">
        <v>14454.756578750001</v>
      </c>
      <c r="K13" s="587">
        <v>16083.69747861</v>
      </c>
      <c r="L13" s="587">
        <v>16398.599999999999</v>
      </c>
      <c r="M13" s="586">
        <v>17464.477917339998</v>
      </c>
      <c r="N13" s="587">
        <v>18880.099999999999</v>
      </c>
      <c r="O13" s="587">
        <v>21104.617358099</v>
      </c>
      <c r="P13" s="587">
        <v>24844.394174950001</v>
      </c>
      <c r="Q13" s="587">
        <v>27632.1337786</v>
      </c>
      <c r="R13" s="587">
        <v>30545.755327300001</v>
      </c>
      <c r="S13" s="587">
        <v>31352.262907230001</v>
      </c>
      <c r="T13" s="587">
        <v>34008.917699359998</v>
      </c>
      <c r="U13" s="587">
        <v>35848.823334449997</v>
      </c>
      <c r="V13" s="587">
        <v>36852.347226259997</v>
      </c>
    </row>
    <row r="14" spans="1:22" s="584" customFormat="1" ht="13.5" customHeight="1">
      <c r="A14" s="585" t="s">
        <v>129</v>
      </c>
      <c r="B14" s="586">
        <v>2668.5770000000002</v>
      </c>
      <c r="C14" s="587">
        <v>2952.8910000000001</v>
      </c>
      <c r="D14" s="587">
        <v>3086.42</v>
      </c>
      <c r="E14" s="587">
        <v>3428.6660000000002</v>
      </c>
      <c r="F14" s="587">
        <v>3866.3020000000001</v>
      </c>
      <c r="G14" s="587">
        <v>4334.05</v>
      </c>
      <c r="H14" s="587">
        <v>4455.5147699999998</v>
      </c>
      <c r="I14" s="587">
        <v>5047.4117100000003</v>
      </c>
      <c r="J14" s="587">
        <v>6025.0770418499997</v>
      </c>
      <c r="K14" s="587">
        <v>6741.1339324600003</v>
      </c>
      <c r="L14" s="587">
        <v>7486.7</v>
      </c>
      <c r="M14" s="586">
        <v>8542.5251941900005</v>
      </c>
      <c r="N14" s="587">
        <v>9798.2000000000007</v>
      </c>
      <c r="O14" s="587">
        <v>10885.714101219701</v>
      </c>
      <c r="P14" s="587">
        <v>13977.26397118</v>
      </c>
      <c r="Q14" s="587">
        <v>15960.167073709999</v>
      </c>
      <c r="R14" s="587">
        <v>16989.463589859999</v>
      </c>
      <c r="S14" s="587">
        <v>18368.685922770001</v>
      </c>
      <c r="T14" s="587">
        <v>19019.26250447</v>
      </c>
      <c r="U14" s="587">
        <v>20915.80277251</v>
      </c>
      <c r="V14" s="587">
        <v>21239.614283989999</v>
      </c>
    </row>
    <row r="15" spans="1:22" s="584" customFormat="1" ht="15" customHeight="1">
      <c r="A15" s="581" t="s">
        <v>130</v>
      </c>
      <c r="B15" s="582">
        <v>11072.188</v>
      </c>
      <c r="C15" s="583">
        <v>11657.816000000001</v>
      </c>
      <c r="D15" s="583">
        <v>12086.208000000001</v>
      </c>
      <c r="E15" s="583">
        <v>11523.575000000001</v>
      </c>
      <c r="F15" s="583">
        <v>13383.388999999999</v>
      </c>
      <c r="G15" s="583">
        <v>15284.02071126</v>
      </c>
      <c r="H15" s="583">
        <v>16115.033367690001</v>
      </c>
      <c r="I15" s="583">
        <v>18771.095389999999</v>
      </c>
      <c r="J15" s="583">
        <v>22469.916191749999</v>
      </c>
      <c r="K15" s="583">
        <v>27304.386190360001</v>
      </c>
      <c r="L15" s="583">
        <v>28617.7</v>
      </c>
      <c r="M15" s="582">
        <v>29631.681649630002</v>
      </c>
      <c r="N15" s="583">
        <v>34303.300000000003</v>
      </c>
      <c r="O15" s="583">
        <v>38446.784723010001</v>
      </c>
      <c r="P15" s="583">
        <v>45962.530533090001</v>
      </c>
      <c r="Q15" s="583">
        <v>51926.498704309997</v>
      </c>
      <c r="R15" s="583">
        <v>57264.918375089997</v>
      </c>
      <c r="S15" s="583">
        <v>59788.338873840003</v>
      </c>
      <c r="T15" s="583">
        <v>63412.05022782</v>
      </c>
      <c r="U15" s="583">
        <v>67267.638827369999</v>
      </c>
      <c r="V15" s="583">
        <v>67830.853476361095</v>
      </c>
    </row>
    <row r="16" spans="1:22" s="584" customFormat="1" ht="13.5" customHeight="1">
      <c r="A16" s="585" t="s">
        <v>127</v>
      </c>
      <c r="B16" s="586">
        <v>5744.15</v>
      </c>
      <c r="C16" s="587">
        <v>5765.1769999999997</v>
      </c>
      <c r="D16" s="587">
        <v>6087.7920000000004</v>
      </c>
      <c r="E16" s="587">
        <v>4842.6480000000001</v>
      </c>
      <c r="F16" s="588">
        <v>6163.85</v>
      </c>
      <c r="G16" s="587">
        <v>7458.3562589800003</v>
      </c>
      <c r="H16" s="589">
        <v>7943.87095907</v>
      </c>
      <c r="I16" s="589">
        <v>9000.07258</v>
      </c>
      <c r="J16" s="589">
        <v>10324.252117599999</v>
      </c>
      <c r="K16" s="589">
        <v>13795.961050170001</v>
      </c>
      <c r="L16" s="589">
        <v>14385.6</v>
      </c>
      <c r="M16" s="590">
        <v>14782.907939070001</v>
      </c>
      <c r="N16" s="589">
        <v>17702.099999999999</v>
      </c>
      <c r="O16" s="589">
        <v>20125.067741581199</v>
      </c>
      <c r="P16" s="589">
        <v>22725.331952690001</v>
      </c>
      <c r="Q16" s="589">
        <v>25300.513768460001</v>
      </c>
      <c r="R16" s="589">
        <v>27254.1092947</v>
      </c>
      <c r="S16" s="589">
        <v>28235.537364619999</v>
      </c>
      <c r="T16" s="589">
        <v>30374.602873340002</v>
      </c>
      <c r="U16" s="589">
        <v>32135.645583789999</v>
      </c>
      <c r="V16" s="587">
        <v>32541.724992311101</v>
      </c>
    </row>
    <row r="17" spans="1:22" s="584" customFormat="1" ht="13.5" customHeight="1">
      <c r="A17" s="585" t="s">
        <v>128</v>
      </c>
      <c r="B17" s="586">
        <v>3544.34</v>
      </c>
      <c r="C17" s="587">
        <v>3909.8820000000001</v>
      </c>
      <c r="D17" s="587">
        <v>3987.241</v>
      </c>
      <c r="E17" s="587">
        <v>4422.223</v>
      </c>
      <c r="F17" s="588">
        <v>4662.2449999999999</v>
      </c>
      <c r="G17" s="587">
        <v>4928.1204621799998</v>
      </c>
      <c r="H17" s="589">
        <v>5198.2560496799997</v>
      </c>
      <c r="I17" s="589">
        <v>6271.5792000000001</v>
      </c>
      <c r="J17" s="589">
        <v>7900.5855984500004</v>
      </c>
      <c r="K17" s="589">
        <v>8825.3464422800007</v>
      </c>
      <c r="L17" s="589">
        <v>8989.9</v>
      </c>
      <c r="M17" s="590">
        <v>8871.32530941</v>
      </c>
      <c r="N17" s="589">
        <v>9731.2999999999993</v>
      </c>
      <c r="O17" s="589">
        <v>10729.836084359</v>
      </c>
      <c r="P17" s="589">
        <v>13091.208653850001</v>
      </c>
      <c r="Q17" s="589">
        <v>14685.006198249999</v>
      </c>
      <c r="R17" s="589">
        <v>17017.180878980002</v>
      </c>
      <c r="S17" s="589">
        <v>17257.663366680001</v>
      </c>
      <c r="T17" s="589">
        <v>18358.62139977</v>
      </c>
      <c r="U17" s="589">
        <v>18884.92904933</v>
      </c>
      <c r="V17" s="587">
        <v>18894.437959890001</v>
      </c>
    </row>
    <row r="18" spans="1:22" s="584" customFormat="1" ht="13.5" customHeight="1">
      <c r="A18" s="585" t="s">
        <v>129</v>
      </c>
      <c r="B18" s="586">
        <v>1783.6980000000001</v>
      </c>
      <c r="C18" s="587">
        <v>1982.7570000000001</v>
      </c>
      <c r="D18" s="587">
        <v>2011.175</v>
      </c>
      <c r="E18" s="587">
        <v>2258.7040000000002</v>
      </c>
      <c r="F18" s="588">
        <v>2557.2939999999999</v>
      </c>
      <c r="G18" s="587">
        <v>2897.5439901</v>
      </c>
      <c r="H18" s="589">
        <v>2972.9063589399998</v>
      </c>
      <c r="I18" s="589">
        <v>3499.4436099999998</v>
      </c>
      <c r="J18" s="589">
        <v>4245.0784757000001</v>
      </c>
      <c r="K18" s="589">
        <v>4683.0786979100003</v>
      </c>
      <c r="L18" s="589">
        <v>5242.2</v>
      </c>
      <c r="M18" s="590">
        <v>5977.4484011499999</v>
      </c>
      <c r="N18" s="589">
        <v>6869.8</v>
      </c>
      <c r="O18" s="589">
        <v>7591.8808970697401</v>
      </c>
      <c r="P18" s="589">
        <v>10145.989926550001</v>
      </c>
      <c r="Q18" s="589">
        <v>11940.9787376</v>
      </c>
      <c r="R18" s="589">
        <v>12993.62820141</v>
      </c>
      <c r="S18" s="589">
        <v>14295.13814254</v>
      </c>
      <c r="T18" s="589">
        <v>14678.825954710001</v>
      </c>
      <c r="U18" s="589">
        <v>16247.064194250001</v>
      </c>
      <c r="V18" s="587">
        <v>16394.69052416</v>
      </c>
    </row>
    <row r="19" spans="1:22" s="584" customFormat="1" ht="15" customHeight="1">
      <c r="A19" s="581" t="s">
        <v>131</v>
      </c>
      <c r="B19" s="582">
        <v>7582.2629999999999</v>
      </c>
      <c r="C19" s="583">
        <v>8491.2350000000006</v>
      </c>
      <c r="D19" s="583">
        <v>9112.8349999999991</v>
      </c>
      <c r="E19" s="583">
        <v>9496.0509999999995</v>
      </c>
      <c r="F19" s="583">
        <v>10511.415999999999</v>
      </c>
      <c r="G19" s="583">
        <v>11254.429</v>
      </c>
      <c r="H19" s="583">
        <v>11524.20090378</v>
      </c>
      <c r="I19" s="583">
        <v>13017.425852939999</v>
      </c>
      <c r="J19" s="583">
        <v>13601.049592113</v>
      </c>
      <c r="K19" s="583">
        <v>15500.626020330001</v>
      </c>
      <c r="L19" s="583">
        <v>16086.4</v>
      </c>
      <c r="M19" s="582">
        <v>20085.65770593</v>
      </c>
      <c r="N19" s="583">
        <v>21730</v>
      </c>
      <c r="O19" s="583">
        <v>24356.341446940001</v>
      </c>
      <c r="P19" s="583">
        <v>29107.08357499</v>
      </c>
      <c r="Q19" s="583">
        <v>34043.947598300001</v>
      </c>
      <c r="R19" s="583">
        <v>36721.75431461</v>
      </c>
      <c r="S19" s="583">
        <v>38461.270546799999</v>
      </c>
      <c r="T19" s="583">
        <v>42993.121614260002</v>
      </c>
      <c r="U19" s="583">
        <v>48118.46430082</v>
      </c>
      <c r="V19" s="583">
        <v>51105.59843441</v>
      </c>
    </row>
    <row r="20" spans="1:22" s="584" customFormat="1" ht="13.5" customHeight="1">
      <c r="A20" s="585" t="s">
        <v>127</v>
      </c>
      <c r="B20" s="586">
        <v>3959.09</v>
      </c>
      <c r="C20" s="587">
        <v>4538.317</v>
      </c>
      <c r="D20" s="587">
        <v>4797.8770000000004</v>
      </c>
      <c r="E20" s="589">
        <v>4890.7089999999998</v>
      </c>
      <c r="F20" s="587">
        <v>5480.3209999999999</v>
      </c>
      <c r="G20" s="587">
        <v>6068.17</v>
      </c>
      <c r="H20" s="589">
        <v>6324.3593410000003</v>
      </c>
      <c r="I20" s="589">
        <v>7570.1453762700003</v>
      </c>
      <c r="J20" s="589">
        <v>7302.9761529449497</v>
      </c>
      <c r="K20" s="589">
        <v>8458.1756086500009</v>
      </c>
      <c r="L20" s="589">
        <v>8716</v>
      </c>
      <c r="M20" s="590">
        <v>11589.38319816</v>
      </c>
      <c r="N20" s="589">
        <v>12533.1</v>
      </c>
      <c r="O20" s="589">
        <v>14124.9126808828</v>
      </c>
      <c r="P20" s="589">
        <v>17452.350296789999</v>
      </c>
      <c r="Q20" s="589">
        <v>21070.731561050001</v>
      </c>
      <c r="R20" s="589">
        <v>23556.24006091</v>
      </c>
      <c r="S20" s="589">
        <v>24992.202537540001</v>
      </c>
      <c r="T20" s="589">
        <v>28362.06456785</v>
      </c>
      <c r="U20" s="589">
        <v>32331.70851968</v>
      </c>
      <c r="V20" s="587">
        <v>34353.814981360003</v>
      </c>
    </row>
    <row r="21" spans="1:22" s="584" customFormat="1" ht="13.5" customHeight="1">
      <c r="A21" s="585" t="s">
        <v>128</v>
      </c>
      <c r="B21" s="586">
        <v>2864.6790000000001</v>
      </c>
      <c r="C21" s="587">
        <v>3116.2049999999999</v>
      </c>
      <c r="D21" s="587">
        <v>3385.9349999999999</v>
      </c>
      <c r="E21" s="589">
        <v>3599.8249999999998</v>
      </c>
      <c r="F21" s="587">
        <v>3910.0729999999999</v>
      </c>
      <c r="G21" s="587">
        <v>3983.1619999999998</v>
      </c>
      <c r="H21" s="589">
        <v>3965.9307416299998</v>
      </c>
      <c r="I21" s="589">
        <v>4185.09927444</v>
      </c>
      <c r="J21" s="589">
        <v>4880.8301880852496</v>
      </c>
      <c r="K21" s="589">
        <v>5394.0605335399996</v>
      </c>
      <c r="L21" s="589">
        <v>5573.7</v>
      </c>
      <c r="M21" s="590">
        <v>6435.7440359399998</v>
      </c>
      <c r="N21" s="589">
        <v>6832.1</v>
      </c>
      <c r="O21" s="589">
        <v>7594.0306898149702</v>
      </c>
      <c r="P21" s="589">
        <v>8621.2791010000001</v>
      </c>
      <c r="Q21" s="589">
        <v>9721.4665483000008</v>
      </c>
      <c r="R21" s="589">
        <v>10025.74463003</v>
      </c>
      <c r="S21" s="589">
        <v>10313.660910500001</v>
      </c>
      <c r="T21" s="589">
        <v>11282.65410064</v>
      </c>
      <c r="U21" s="589">
        <v>12218.321202319999</v>
      </c>
      <c r="V21" s="587">
        <v>13057.762077539999</v>
      </c>
    </row>
    <row r="22" spans="1:22" s="584" customFormat="1" ht="13.5" customHeight="1">
      <c r="A22" s="585" t="s">
        <v>129</v>
      </c>
      <c r="B22" s="586">
        <v>758.49400000000003</v>
      </c>
      <c r="C22" s="587">
        <v>836.71299999999997</v>
      </c>
      <c r="D22" s="587">
        <v>929.02300000000002</v>
      </c>
      <c r="E22" s="589">
        <v>1005.5170000000001</v>
      </c>
      <c r="F22" s="587">
        <v>1121.0219999999999</v>
      </c>
      <c r="G22" s="587">
        <v>1203.097</v>
      </c>
      <c r="H22" s="589">
        <v>1233.9108211499999</v>
      </c>
      <c r="I22" s="589">
        <v>1262.1812022300001</v>
      </c>
      <c r="J22" s="589">
        <v>1417.24325108277</v>
      </c>
      <c r="K22" s="589">
        <v>1648.3898781400001</v>
      </c>
      <c r="L22" s="589">
        <v>1796.7</v>
      </c>
      <c r="M22" s="590">
        <v>2060.5304718299999</v>
      </c>
      <c r="N22" s="589">
        <v>2364.8000000000002</v>
      </c>
      <c r="O22" s="589">
        <v>2637.3980762422302</v>
      </c>
      <c r="P22" s="589">
        <v>3033.4541771999998</v>
      </c>
      <c r="Q22" s="589">
        <v>3251.7494889499999</v>
      </c>
      <c r="R22" s="589">
        <v>3139.7696236699999</v>
      </c>
      <c r="S22" s="589">
        <v>3155.4070987599998</v>
      </c>
      <c r="T22" s="589">
        <v>3348.4029457699999</v>
      </c>
      <c r="U22" s="589">
        <v>3568.4345788199998</v>
      </c>
      <c r="V22" s="587">
        <v>3694.0213755099999</v>
      </c>
    </row>
    <row r="23" spans="1:22" s="584" customFormat="1" ht="15" customHeight="1">
      <c r="A23" s="581" t="s">
        <v>132</v>
      </c>
      <c r="B23" s="582">
        <v>2607.0129999999999</v>
      </c>
      <c r="C23" s="583">
        <v>2814.366</v>
      </c>
      <c r="D23" s="583">
        <v>3058.6689999999999</v>
      </c>
      <c r="E23" s="583">
        <v>2968.4989999999998</v>
      </c>
      <c r="F23" s="583">
        <v>3519.3719999999998</v>
      </c>
      <c r="G23" s="583">
        <v>3731.5</v>
      </c>
      <c r="H23" s="583">
        <v>3754.0839000000001</v>
      </c>
      <c r="I23" s="583">
        <v>4241.3600500000002</v>
      </c>
      <c r="J23" s="583">
        <v>4405.15487132</v>
      </c>
      <c r="K23" s="583">
        <v>5057.1389735100001</v>
      </c>
      <c r="L23" s="583">
        <v>4963.6000000000004</v>
      </c>
      <c r="M23" s="582">
        <v>6308.3352481299999</v>
      </c>
      <c r="N23" s="583">
        <v>7026.5</v>
      </c>
      <c r="O23" s="583">
        <v>8410.8807198100003</v>
      </c>
      <c r="P23" s="583">
        <v>10229.041231020001</v>
      </c>
      <c r="Q23" s="583">
        <v>11270.90739807</v>
      </c>
      <c r="R23" s="583">
        <v>11279.171008650001</v>
      </c>
      <c r="S23" s="583">
        <v>11866.43040336</v>
      </c>
      <c r="T23" s="583">
        <v>13592.82361326</v>
      </c>
      <c r="U23" s="583">
        <v>14942.365021289999</v>
      </c>
      <c r="V23" s="583">
        <v>15308.53470102</v>
      </c>
    </row>
    <row r="24" spans="1:22" s="584" customFormat="1" ht="13.5" customHeight="1">
      <c r="A24" s="585" t="s">
        <v>127</v>
      </c>
      <c r="B24" s="586">
        <v>2009.4590000000001</v>
      </c>
      <c r="C24" s="587">
        <v>2169.1849999999999</v>
      </c>
      <c r="D24" s="587">
        <v>2355.9920000000002</v>
      </c>
      <c r="E24" s="587">
        <v>2149.3029999999999</v>
      </c>
      <c r="F24" s="587">
        <v>2582.723</v>
      </c>
      <c r="G24" s="587">
        <v>2689.29</v>
      </c>
      <c r="H24" s="589">
        <v>2717.7554100000002</v>
      </c>
      <c r="I24" s="589">
        <v>3074.6358700000001</v>
      </c>
      <c r="J24" s="589">
        <v>3001.8561012999999</v>
      </c>
      <c r="K24" s="589">
        <v>3479.5134231500001</v>
      </c>
      <c r="L24" s="589">
        <v>3384.7</v>
      </c>
      <c r="M24" s="590">
        <v>4439.4795576500001</v>
      </c>
      <c r="N24" s="589">
        <v>4993.5</v>
      </c>
      <c r="O24" s="589">
        <v>6070.0735767899996</v>
      </c>
      <c r="P24" s="589">
        <v>7442.2167726899997</v>
      </c>
      <c r="Q24" s="589">
        <v>8098.8210054499996</v>
      </c>
      <c r="R24" s="589">
        <v>7828.6789637499996</v>
      </c>
      <c r="S24" s="589">
        <v>8154.6300290299996</v>
      </c>
      <c r="T24" s="589">
        <v>9331.5704201600001</v>
      </c>
      <c r="U24" s="589">
        <v>10308.50147121</v>
      </c>
      <c r="V24" s="587">
        <v>10510.48397388</v>
      </c>
    </row>
    <row r="25" spans="1:22" s="584" customFormat="1" ht="13.5" customHeight="1">
      <c r="A25" s="585" t="s">
        <v>128</v>
      </c>
      <c r="B25" s="586">
        <v>492.51100000000002</v>
      </c>
      <c r="C25" s="587">
        <v>535.33900000000006</v>
      </c>
      <c r="D25" s="587">
        <v>585.27300000000002</v>
      </c>
      <c r="E25" s="587">
        <v>682.07899999999995</v>
      </c>
      <c r="F25" s="587">
        <v>778.08199999999999</v>
      </c>
      <c r="G25" s="587">
        <v>845.35</v>
      </c>
      <c r="H25" s="589">
        <v>835.65238999999997</v>
      </c>
      <c r="I25" s="589">
        <v>941.04004999999995</v>
      </c>
      <c r="J25" s="589">
        <v>1124.9287898</v>
      </c>
      <c r="K25" s="589">
        <v>1260.3399144699999</v>
      </c>
      <c r="L25" s="589">
        <v>1220.4000000000001</v>
      </c>
      <c r="M25" s="590">
        <v>1467.70725012</v>
      </c>
      <c r="N25" s="589">
        <v>1582.5</v>
      </c>
      <c r="O25" s="589">
        <v>1831.3290388200001</v>
      </c>
      <c r="P25" s="589">
        <v>2137.4795437100001</v>
      </c>
      <c r="Q25" s="589">
        <v>2451.0700292900001</v>
      </c>
      <c r="R25" s="589">
        <v>2648.8130905799999</v>
      </c>
      <c r="S25" s="589">
        <v>2854.5318957700001</v>
      </c>
      <c r="T25" s="589">
        <v>3337.7558161400002</v>
      </c>
      <c r="U25" s="589">
        <v>3611.9041339800001</v>
      </c>
      <c r="V25" s="587">
        <v>3730.1566572500001</v>
      </c>
    </row>
    <row r="26" spans="1:22" s="225" customFormat="1" ht="13.5" customHeight="1">
      <c r="A26" s="226" t="s">
        <v>129</v>
      </c>
      <c r="B26" s="227">
        <v>105.04300000000001</v>
      </c>
      <c r="C26" s="228">
        <v>109.842</v>
      </c>
      <c r="D26" s="228">
        <v>117.404</v>
      </c>
      <c r="E26" s="228">
        <v>137.11699999999999</v>
      </c>
      <c r="F26" s="228">
        <v>158.56700000000001</v>
      </c>
      <c r="G26" s="228">
        <v>196.86</v>
      </c>
      <c r="H26" s="235">
        <v>200.67609999999999</v>
      </c>
      <c r="I26" s="235">
        <v>225.68413000000001</v>
      </c>
      <c r="J26" s="235">
        <v>278.36998022</v>
      </c>
      <c r="K26" s="235">
        <v>317.28563588999998</v>
      </c>
      <c r="L26" s="235">
        <v>358.5</v>
      </c>
      <c r="M26" s="236">
        <v>401.14844036</v>
      </c>
      <c r="N26" s="235">
        <v>450.4</v>
      </c>
      <c r="O26" s="235">
        <v>509.47810420000002</v>
      </c>
      <c r="P26" s="235">
        <v>649.34491462000005</v>
      </c>
      <c r="Q26" s="235">
        <v>721.01636332999999</v>
      </c>
      <c r="R26" s="235">
        <v>801.67895432</v>
      </c>
      <c r="S26" s="235">
        <v>857.26847855999995</v>
      </c>
      <c r="T26" s="235">
        <v>923.49737696</v>
      </c>
      <c r="U26" s="235">
        <v>1021.9594161</v>
      </c>
      <c r="V26" s="228">
        <v>1067.8940698900001</v>
      </c>
    </row>
    <row r="27" spans="1:22" s="225" customFormat="1" ht="15" customHeight="1">
      <c r="A27" s="232" t="s">
        <v>133</v>
      </c>
      <c r="B27" s="233">
        <v>452.79700000000003</v>
      </c>
      <c r="C27" s="234">
        <v>459.87400000000002</v>
      </c>
      <c r="D27" s="234">
        <v>635.697</v>
      </c>
      <c r="E27" s="234">
        <v>546.65099999999995</v>
      </c>
      <c r="F27" s="234">
        <v>580.26800000000003</v>
      </c>
      <c r="G27" s="234">
        <v>600.14099999999996</v>
      </c>
      <c r="H27" s="234">
        <v>659.19188622000001</v>
      </c>
      <c r="I27" s="234">
        <v>724.17808706000005</v>
      </c>
      <c r="J27" s="234">
        <v>737.34851877702999</v>
      </c>
      <c r="K27" s="234">
        <v>888.44811737999999</v>
      </c>
      <c r="L27" s="234">
        <v>1069.5999999999999</v>
      </c>
      <c r="M27" s="233">
        <v>1242.0736407100001</v>
      </c>
      <c r="N27" s="234">
        <v>1343.3</v>
      </c>
      <c r="O27" s="234">
        <v>1662.45639744</v>
      </c>
      <c r="P27" s="234">
        <v>1881.2885013099999</v>
      </c>
      <c r="Q27" s="234">
        <v>2056.1549947399999</v>
      </c>
      <c r="R27" s="234">
        <v>2155.88698221</v>
      </c>
      <c r="S27" s="234">
        <v>2191.8090148000001</v>
      </c>
      <c r="T27" s="234">
        <v>2297.1050605400001</v>
      </c>
      <c r="U27" s="234">
        <v>2416.0571174000002</v>
      </c>
      <c r="V27" s="234">
        <v>2487.0506956200002</v>
      </c>
    </row>
    <row r="28" spans="1:22" s="225" customFormat="1" ht="13.5" customHeight="1">
      <c r="A28" s="226" t="s">
        <v>127</v>
      </c>
      <c r="B28" s="236">
        <v>401.91</v>
      </c>
      <c r="C28" s="235">
        <v>403.07799999999997</v>
      </c>
      <c r="D28" s="235">
        <v>389.35899999999998</v>
      </c>
      <c r="E28" s="235">
        <v>324.09800000000001</v>
      </c>
      <c r="F28" s="235">
        <v>342.43</v>
      </c>
      <c r="G28" s="235">
        <v>351.92</v>
      </c>
      <c r="H28" s="235">
        <v>392.659289</v>
      </c>
      <c r="I28" s="235">
        <v>422.41484372999997</v>
      </c>
      <c r="J28" s="235">
        <v>431.46428038505002</v>
      </c>
      <c r="K28" s="235">
        <v>530.30424479999999</v>
      </c>
      <c r="L28" s="235">
        <v>658.2</v>
      </c>
      <c r="M28" s="236">
        <v>787.40523223000002</v>
      </c>
      <c r="N28" s="235">
        <v>851.8</v>
      </c>
      <c r="O28" s="235">
        <v>1043.2037010071999</v>
      </c>
      <c r="P28" s="235">
        <v>1167.9484750500001</v>
      </c>
      <c r="Q28" s="235">
        <v>1235.1415081499999</v>
      </c>
      <c r="R28" s="235">
        <v>1247.48344404</v>
      </c>
      <c r="S28" s="235">
        <v>1204.53007761</v>
      </c>
      <c r="T28" s="235">
        <v>1198.6824506999999</v>
      </c>
      <c r="U28" s="235">
        <v>1204.0435852400001</v>
      </c>
      <c r="V28" s="228">
        <v>1234.0518496100001</v>
      </c>
    </row>
    <row r="29" spans="1:22" s="225" customFormat="1" ht="13.5" customHeight="1">
      <c r="A29" s="226" t="s">
        <v>128</v>
      </c>
      <c r="B29" s="236">
        <v>45.228000000000002</v>
      </c>
      <c r="C29" s="235">
        <v>50.362000000000002</v>
      </c>
      <c r="D29" s="235">
        <v>235.036</v>
      </c>
      <c r="E29" s="235">
        <v>215.678</v>
      </c>
      <c r="F29" s="235">
        <v>230.322</v>
      </c>
      <c r="G29" s="235">
        <v>239.78800000000001</v>
      </c>
      <c r="H29" s="235">
        <v>256.55500837</v>
      </c>
      <c r="I29" s="235">
        <v>290.37277555999998</v>
      </c>
      <c r="J29" s="235">
        <v>293.12774455475198</v>
      </c>
      <c r="K29" s="235">
        <v>342.03005867000002</v>
      </c>
      <c r="L29" s="235">
        <v>390.9</v>
      </c>
      <c r="M29" s="236">
        <v>431.70006126999999</v>
      </c>
      <c r="N29" s="235">
        <v>465</v>
      </c>
      <c r="O29" s="235">
        <v>585.07125679502599</v>
      </c>
      <c r="P29" s="235">
        <v>672.49082694000003</v>
      </c>
      <c r="Q29" s="235">
        <v>774.59100276000004</v>
      </c>
      <c r="R29" s="235">
        <v>854.01672771000005</v>
      </c>
      <c r="S29" s="235">
        <v>926.40673428000002</v>
      </c>
      <c r="T29" s="235">
        <v>1029.88638281</v>
      </c>
      <c r="U29" s="235">
        <v>1133.66894882</v>
      </c>
      <c r="V29" s="228">
        <v>1169.9905315799999</v>
      </c>
    </row>
    <row r="30" spans="1:22" s="225" customFormat="1" ht="13.5" customHeight="1">
      <c r="A30" s="226" t="s">
        <v>129</v>
      </c>
      <c r="B30" s="236">
        <v>5.6589999999999998</v>
      </c>
      <c r="C30" s="235">
        <v>6.4340000000000002</v>
      </c>
      <c r="D30" s="235">
        <v>11.302</v>
      </c>
      <c r="E30" s="235">
        <v>6.875</v>
      </c>
      <c r="F30" s="235">
        <v>7.516</v>
      </c>
      <c r="G30" s="235">
        <v>8.4329999999999998</v>
      </c>
      <c r="H30" s="235">
        <v>9.9775888500000001</v>
      </c>
      <c r="I30" s="235">
        <v>11.390467770000001</v>
      </c>
      <c r="J30" s="235">
        <v>12.756493837227699</v>
      </c>
      <c r="K30" s="235">
        <v>16.113813910000001</v>
      </c>
      <c r="L30" s="235">
        <v>20.5</v>
      </c>
      <c r="M30" s="236">
        <v>22.968347210000001</v>
      </c>
      <c r="N30" s="235">
        <v>26.5</v>
      </c>
      <c r="O30" s="235">
        <v>34.181439637773202</v>
      </c>
      <c r="P30" s="235">
        <v>40.849199319999997</v>
      </c>
      <c r="Q30" s="235">
        <v>46.422483829999997</v>
      </c>
      <c r="R30" s="235">
        <v>54.38681046</v>
      </c>
      <c r="S30" s="235">
        <v>60.872202909999999</v>
      </c>
      <c r="T30" s="235">
        <v>68.536227030000006</v>
      </c>
      <c r="U30" s="235">
        <v>78.34458334</v>
      </c>
      <c r="V30" s="228">
        <v>83.008314429999999</v>
      </c>
    </row>
    <row r="31" spans="1:22" s="225" customFormat="1" ht="15" customHeight="1">
      <c r="A31" s="232" t="s">
        <v>134</v>
      </c>
      <c r="B31" s="233">
        <v>906.78499999999997</v>
      </c>
      <c r="C31" s="234">
        <v>1166.806</v>
      </c>
      <c r="D31" s="234">
        <v>1140.376</v>
      </c>
      <c r="E31" s="234">
        <v>1135.498</v>
      </c>
      <c r="F31" s="234">
        <v>1152.5709999999999</v>
      </c>
      <c r="G31" s="234">
        <v>1204.9000000000001</v>
      </c>
      <c r="H31" s="237">
        <v>1381.30322</v>
      </c>
      <c r="I31" s="237">
        <v>1478.7220400000001</v>
      </c>
      <c r="J31" s="237">
        <v>1552.0814751400001</v>
      </c>
      <c r="K31" s="237">
        <v>1344.4165453600001</v>
      </c>
      <c r="L31" s="237">
        <v>1438.5808934199999</v>
      </c>
      <c r="M31" s="238">
        <v>1611.8309711700001</v>
      </c>
      <c r="N31" s="237">
        <v>1755.2</v>
      </c>
      <c r="O31" s="237">
        <v>2030.46433757</v>
      </c>
      <c r="P31" s="237">
        <v>2600.1013737930002</v>
      </c>
      <c r="Q31" s="237">
        <v>2803.3141802</v>
      </c>
      <c r="R31" s="237">
        <v>3217.1936824099998</v>
      </c>
      <c r="S31" s="237">
        <v>3676.55035567</v>
      </c>
      <c r="T31" s="237">
        <v>4395.7464865299999</v>
      </c>
      <c r="U31" s="237">
        <v>5300.2424886700001</v>
      </c>
      <c r="V31" s="237">
        <v>5835.3895396099997</v>
      </c>
    </row>
    <row r="32" spans="1:22" s="225" customFormat="1" ht="15" customHeight="1">
      <c r="A32" s="239" t="s">
        <v>135</v>
      </c>
      <c r="B32" s="240">
        <v>239.62799999999999</v>
      </c>
      <c r="C32" s="241">
        <v>256.67200000000003</v>
      </c>
      <c r="D32" s="241">
        <v>265.92599999999999</v>
      </c>
      <c r="E32" s="241">
        <v>287.61399999999998</v>
      </c>
      <c r="F32" s="241">
        <v>287.15800000000002</v>
      </c>
      <c r="G32" s="241">
        <v>302</v>
      </c>
      <c r="H32" s="242">
        <v>350.35061000000002</v>
      </c>
      <c r="I32" s="242">
        <v>384.90759000000003</v>
      </c>
      <c r="J32" s="242">
        <v>681.26883258999999</v>
      </c>
      <c r="K32" s="242">
        <v>664.79121819</v>
      </c>
      <c r="L32" s="242">
        <v>708.62</v>
      </c>
      <c r="M32" s="243">
        <v>766.23452009000005</v>
      </c>
      <c r="N32" s="242">
        <v>839.9</v>
      </c>
      <c r="O32" s="242">
        <v>928.89137255000003</v>
      </c>
      <c r="P32" s="237">
        <v>1084.5092137700001</v>
      </c>
      <c r="Q32" s="242">
        <v>1136.5085506299999</v>
      </c>
      <c r="R32" s="242">
        <v>1323.00808461</v>
      </c>
      <c r="S32" s="242">
        <v>1605.1666551799999</v>
      </c>
      <c r="T32" s="242">
        <v>1736.6967315700001</v>
      </c>
      <c r="U32" s="242">
        <v>1898.5376317499999</v>
      </c>
      <c r="V32" s="242">
        <v>1976.0963375199999</v>
      </c>
    </row>
    <row r="33" spans="1:22" s="584" customFormat="1" ht="15" customHeight="1">
      <c r="A33" s="581" t="s">
        <v>136</v>
      </c>
      <c r="B33" s="582">
        <v>8406.6329999999998</v>
      </c>
      <c r="C33" s="583">
        <v>9054.3790000000008</v>
      </c>
      <c r="D33" s="583">
        <v>9788.4889999999996</v>
      </c>
      <c r="E33" s="583">
        <v>11902.236000000001</v>
      </c>
      <c r="F33" s="583">
        <v>11532.154</v>
      </c>
      <c r="G33" s="583">
        <v>13616.28</v>
      </c>
      <c r="H33" s="583">
        <v>17249.75621</v>
      </c>
      <c r="I33" s="583">
        <v>19950.308430000001</v>
      </c>
      <c r="J33" s="583">
        <v>20073.268333960001</v>
      </c>
      <c r="K33" s="583">
        <v>20619.638684869999</v>
      </c>
      <c r="L33" s="583">
        <v>22560.2</v>
      </c>
      <c r="M33" s="582">
        <v>25841.376587260002</v>
      </c>
      <c r="N33" s="583">
        <v>27767.8</v>
      </c>
      <c r="O33" s="583">
        <v>31942.745923120001</v>
      </c>
      <c r="P33" s="591">
        <v>34123.8152768</v>
      </c>
      <c r="Q33" s="583">
        <v>37015.288283280002</v>
      </c>
      <c r="R33" s="583">
        <v>39115.17958856</v>
      </c>
      <c r="S33" s="583">
        <v>39259.184809539998</v>
      </c>
      <c r="T33" s="583">
        <v>42453.265634609998</v>
      </c>
      <c r="U33" s="583">
        <v>45925.32045195</v>
      </c>
      <c r="V33" s="583">
        <v>48169.391843396501</v>
      </c>
    </row>
    <row r="34" spans="1:22" s="225" customFormat="1" ht="13.5" customHeight="1">
      <c r="A34" s="226" t="s">
        <v>127</v>
      </c>
      <c r="B34" s="227">
        <v>3864.6350000000002</v>
      </c>
      <c r="C34" s="228">
        <v>4096.7539999999999</v>
      </c>
      <c r="D34" s="228">
        <v>4222.7460000000001</v>
      </c>
      <c r="E34" s="228">
        <v>5267.9170000000004</v>
      </c>
      <c r="F34" s="228">
        <v>4140.2569999999996</v>
      </c>
      <c r="G34" s="228">
        <v>5769.54</v>
      </c>
      <c r="H34" s="235">
        <v>6375.6099800000002</v>
      </c>
      <c r="I34" s="235">
        <v>8293.9047699999992</v>
      </c>
      <c r="J34" s="235">
        <v>7898.6601706000001</v>
      </c>
      <c r="K34" s="235">
        <v>7724.8512684899997</v>
      </c>
      <c r="L34" s="235">
        <v>8256.7000000000007</v>
      </c>
      <c r="M34" s="236">
        <v>9635.6378894900008</v>
      </c>
      <c r="N34" s="235">
        <v>10216.1</v>
      </c>
      <c r="O34" s="235">
        <v>11960.08607754</v>
      </c>
      <c r="P34" s="235">
        <v>13264.489715129999</v>
      </c>
      <c r="Q34" s="235">
        <v>14637.49864768</v>
      </c>
      <c r="R34" s="235">
        <v>15731.810548199999</v>
      </c>
      <c r="S34" s="235">
        <v>16092.220988659999</v>
      </c>
      <c r="T34" s="235">
        <v>17049.450946770001</v>
      </c>
      <c r="U34" s="235">
        <v>17996.71299982</v>
      </c>
      <c r="V34" s="228">
        <v>18881.468524686501</v>
      </c>
    </row>
    <row r="35" spans="1:22" s="225" customFormat="1" ht="13.5" customHeight="1">
      <c r="A35" s="226" t="s">
        <v>128</v>
      </c>
      <c r="B35" s="227">
        <v>2599.018</v>
      </c>
      <c r="C35" s="228">
        <v>2924.0610000000001</v>
      </c>
      <c r="D35" s="228">
        <v>3071.067</v>
      </c>
      <c r="E35" s="228">
        <v>3715.6370000000002</v>
      </c>
      <c r="F35" s="228">
        <v>4112.9830000000002</v>
      </c>
      <c r="G35" s="228">
        <v>4362.1899999999996</v>
      </c>
      <c r="H35" s="235">
        <v>6402.7778099999996</v>
      </c>
      <c r="I35" s="235">
        <v>6613.5962799999998</v>
      </c>
      <c r="J35" s="235">
        <v>7096.2364122400004</v>
      </c>
      <c r="K35" s="235">
        <v>7462.0600071199997</v>
      </c>
      <c r="L35" s="235">
        <v>8022.1</v>
      </c>
      <c r="M35" s="236">
        <v>9234.6672180599999</v>
      </c>
      <c r="N35" s="235">
        <v>10068.799999999999</v>
      </c>
      <c r="O35" s="235">
        <v>11353.27391751</v>
      </c>
      <c r="P35" s="235">
        <v>11805.449131359999</v>
      </c>
      <c r="Q35" s="235">
        <v>13110.94948225</v>
      </c>
      <c r="R35" s="235">
        <v>13775.65735094</v>
      </c>
      <c r="S35" s="235">
        <v>13881.058330620001</v>
      </c>
      <c r="T35" s="235">
        <v>15002.27104965</v>
      </c>
      <c r="U35" s="235">
        <v>16492.88669204</v>
      </c>
      <c r="V35" s="228">
        <v>17186.606428859999</v>
      </c>
    </row>
    <row r="36" spans="1:22" s="225" customFormat="1" ht="13.5" customHeight="1">
      <c r="A36" s="229" t="s">
        <v>129</v>
      </c>
      <c r="B36" s="230">
        <v>1942.98</v>
      </c>
      <c r="C36" s="231">
        <v>2033.5640000000001</v>
      </c>
      <c r="D36" s="231">
        <v>2494.6759999999999</v>
      </c>
      <c r="E36" s="231">
        <v>2918.6819999999998</v>
      </c>
      <c r="F36" s="231">
        <v>3278.9140000000002</v>
      </c>
      <c r="G36" s="231">
        <v>3484.55</v>
      </c>
      <c r="H36" s="244">
        <v>4471.3684199999998</v>
      </c>
      <c r="I36" s="244">
        <v>5042.8073800000002</v>
      </c>
      <c r="J36" s="244">
        <v>5078.3717511200002</v>
      </c>
      <c r="K36" s="244">
        <v>5432.7274092600001</v>
      </c>
      <c r="L36" s="244">
        <v>6281.4</v>
      </c>
      <c r="M36" s="245">
        <v>6971.0714797099999</v>
      </c>
      <c r="N36" s="244">
        <v>7482.8</v>
      </c>
      <c r="O36" s="244">
        <v>8629.3859280699999</v>
      </c>
      <c r="P36" s="244">
        <v>9053.8764303099997</v>
      </c>
      <c r="Q36" s="244">
        <v>9266.84015335</v>
      </c>
      <c r="R36" s="244">
        <v>9607.7116894200008</v>
      </c>
      <c r="S36" s="244">
        <v>9285.9054902600001</v>
      </c>
      <c r="T36" s="244">
        <v>10401.54363819</v>
      </c>
      <c r="U36" s="244">
        <v>11435.72076009</v>
      </c>
      <c r="V36" s="244">
        <v>12101.316889850001</v>
      </c>
    </row>
    <row r="37" spans="1:22" s="225" customFormat="1" ht="13.5" customHeight="1">
      <c r="A37" s="232" t="s">
        <v>137</v>
      </c>
      <c r="B37" s="233">
        <v>281.44900000000001</v>
      </c>
      <c r="C37" s="234">
        <v>318.904</v>
      </c>
      <c r="D37" s="234">
        <v>414.43900000000002</v>
      </c>
      <c r="E37" s="234">
        <v>511.47800000000001</v>
      </c>
      <c r="F37" s="234">
        <v>452.01799999999997</v>
      </c>
      <c r="G37" s="234">
        <v>648.34928874000002</v>
      </c>
      <c r="H37" s="234">
        <v>786.78252230999999</v>
      </c>
      <c r="I37" s="234">
        <v>955.44753000000003</v>
      </c>
      <c r="J37" s="234">
        <v>1257.6557078400001</v>
      </c>
      <c r="K37" s="234">
        <v>1321.6853715899999</v>
      </c>
      <c r="L37" s="234">
        <v>1394.2</v>
      </c>
      <c r="M37" s="233">
        <v>1821.31516633</v>
      </c>
      <c r="N37" s="234">
        <v>1961.2</v>
      </c>
      <c r="O37" s="234">
        <v>2507.4439223300001</v>
      </c>
      <c r="P37" s="234">
        <v>2657.5608988099998</v>
      </c>
      <c r="Q37" s="234">
        <v>2854.7891751699999</v>
      </c>
      <c r="R37" s="234">
        <v>2878.56551803</v>
      </c>
      <c r="S37" s="234">
        <v>2970.5976082799998</v>
      </c>
      <c r="T37" s="234">
        <v>3371.9431122999999</v>
      </c>
      <c r="U37" s="234">
        <v>3675.0616137500001</v>
      </c>
      <c r="V37" s="234">
        <v>3892.74051259</v>
      </c>
    </row>
    <row r="38" spans="1:22" s="225" customFormat="1" ht="13.5" customHeight="1">
      <c r="A38" s="226" t="s">
        <v>127</v>
      </c>
      <c r="B38" s="227">
        <v>210.143</v>
      </c>
      <c r="C38" s="228">
        <v>235.35900000000001</v>
      </c>
      <c r="D38" s="228">
        <v>324.56599999999997</v>
      </c>
      <c r="E38" s="228">
        <v>408.30399999999997</v>
      </c>
      <c r="F38" s="228">
        <v>342.48700000000002</v>
      </c>
      <c r="G38" s="228">
        <v>499.20374102</v>
      </c>
      <c r="H38" s="235">
        <v>590.75434093000001</v>
      </c>
      <c r="I38" s="235">
        <v>716.50981000000002</v>
      </c>
      <c r="J38" s="235">
        <v>930.74260896999999</v>
      </c>
      <c r="K38" s="235">
        <v>983.49893532999999</v>
      </c>
      <c r="L38" s="235">
        <v>1101.7</v>
      </c>
      <c r="M38" s="236">
        <v>1482.8843720899999</v>
      </c>
      <c r="N38" s="235">
        <v>1605.3</v>
      </c>
      <c r="O38" s="235">
        <v>2030.3180499499999</v>
      </c>
      <c r="P38" s="235">
        <v>2227.99909587</v>
      </c>
      <c r="Q38" s="235">
        <v>2417.5724417900001</v>
      </c>
      <c r="R38" s="235">
        <v>2398.5930938299998</v>
      </c>
      <c r="S38" s="235">
        <v>2459.1075320599998</v>
      </c>
      <c r="T38" s="235">
        <v>2795.3526712299999</v>
      </c>
      <c r="U38" s="235">
        <v>3138.3151352499999</v>
      </c>
      <c r="V38" s="228">
        <v>3330.2555790199999</v>
      </c>
    </row>
    <row r="39" spans="1:22" s="225" customFormat="1" ht="13.5" customHeight="1">
      <c r="A39" s="226" t="s">
        <v>128</v>
      </c>
      <c r="B39" s="227">
        <v>55.622999999999998</v>
      </c>
      <c r="C39" s="228">
        <v>66.400000000000006</v>
      </c>
      <c r="D39" s="228">
        <v>72.356999999999999</v>
      </c>
      <c r="E39" s="228">
        <v>82.721000000000004</v>
      </c>
      <c r="F39" s="228">
        <v>87.628</v>
      </c>
      <c r="G39" s="228">
        <v>121.02953782</v>
      </c>
      <c r="H39" s="235">
        <v>157.98428032000001</v>
      </c>
      <c r="I39" s="235">
        <v>190.22542000000001</v>
      </c>
      <c r="J39" s="235">
        <v>255.28425786</v>
      </c>
      <c r="K39" s="235">
        <v>261.92052964999999</v>
      </c>
      <c r="L39" s="235">
        <v>223.7</v>
      </c>
      <c r="M39" s="236">
        <v>258.00126060000002</v>
      </c>
      <c r="N39" s="235">
        <v>269.2</v>
      </c>
      <c r="O39" s="235">
        <v>364.35028831</v>
      </c>
      <c r="P39" s="235">
        <v>321.93604944999998</v>
      </c>
      <c r="Q39" s="235">
        <v>330.04911892000001</v>
      </c>
      <c r="R39" s="235">
        <v>363.29960062999999</v>
      </c>
      <c r="S39" s="235">
        <v>386.80083958</v>
      </c>
      <c r="T39" s="235">
        <v>444.23519594999999</v>
      </c>
      <c r="U39" s="235">
        <v>410.18180645000001</v>
      </c>
      <c r="V39" s="228">
        <v>430.90567804</v>
      </c>
    </row>
    <row r="40" spans="1:22" s="225" customFormat="1" ht="13.5" customHeight="1">
      <c r="A40" s="229" t="s">
        <v>129</v>
      </c>
      <c r="B40" s="230">
        <v>15.683</v>
      </c>
      <c r="C40" s="231">
        <v>17.145</v>
      </c>
      <c r="D40" s="231">
        <v>17.515999999999998</v>
      </c>
      <c r="E40" s="231">
        <v>20.452999999999999</v>
      </c>
      <c r="F40" s="231">
        <v>21.902999999999999</v>
      </c>
      <c r="G40" s="231">
        <v>28.116009900000002</v>
      </c>
      <c r="H40" s="244">
        <v>38.043901060000003</v>
      </c>
      <c r="I40" s="244">
        <v>48.712299999999999</v>
      </c>
      <c r="J40" s="244">
        <v>71.628841010000002</v>
      </c>
      <c r="K40" s="244">
        <v>76.265906610000002</v>
      </c>
      <c r="L40" s="244">
        <v>68.8</v>
      </c>
      <c r="M40" s="245">
        <v>80.429533640000002</v>
      </c>
      <c r="N40" s="244">
        <v>86.7</v>
      </c>
      <c r="O40" s="244">
        <v>112.77558406999999</v>
      </c>
      <c r="P40" s="244">
        <v>107.62575348999999</v>
      </c>
      <c r="Q40" s="244">
        <v>107.16761446</v>
      </c>
      <c r="R40" s="244">
        <v>116.67282357000001</v>
      </c>
      <c r="S40" s="244">
        <v>124.68923664</v>
      </c>
      <c r="T40" s="244">
        <v>132.35524512000001</v>
      </c>
      <c r="U40" s="244">
        <v>126.56467205</v>
      </c>
      <c r="V40" s="244">
        <v>131.57925553000001</v>
      </c>
    </row>
    <row r="41" spans="1:22" s="225" customFormat="1" ht="15" customHeight="1">
      <c r="A41" s="232" t="s">
        <v>138</v>
      </c>
      <c r="B41" s="233">
        <v>1195.7650000000001</v>
      </c>
      <c r="C41" s="234">
        <v>1444.1120000000001</v>
      </c>
      <c r="D41" s="234">
        <v>1708.451</v>
      </c>
      <c r="E41" s="234">
        <v>1856.1030000000001</v>
      </c>
      <c r="F41" s="234">
        <v>1974.357</v>
      </c>
      <c r="G41" s="234">
        <v>2029.1</v>
      </c>
      <c r="H41" s="234">
        <v>2426.0735199999999</v>
      </c>
      <c r="I41" s="234">
        <v>2889.8144200000002</v>
      </c>
      <c r="J41" s="234">
        <v>3487.4555964199999</v>
      </c>
      <c r="K41" s="234">
        <v>3986.2354691700002</v>
      </c>
      <c r="L41" s="234">
        <v>4409.8</v>
      </c>
      <c r="M41" s="233">
        <v>5468.3616938799996</v>
      </c>
      <c r="N41" s="234">
        <v>5621.1</v>
      </c>
      <c r="O41" s="234">
        <v>5974.8097624700004</v>
      </c>
      <c r="P41" s="234">
        <v>5950.6901974900002</v>
      </c>
      <c r="Q41" s="234">
        <v>6588.21524107</v>
      </c>
      <c r="R41" s="234">
        <v>7335.9827173800004</v>
      </c>
      <c r="S41" s="234">
        <v>7471.0966797299998</v>
      </c>
      <c r="T41" s="234">
        <v>7919.6795039099998</v>
      </c>
      <c r="U41" s="234">
        <v>8217.9911157200004</v>
      </c>
      <c r="V41" s="234">
        <v>8477.7065405600006</v>
      </c>
    </row>
    <row r="42" spans="1:22" s="225" customFormat="1" ht="13.5" customHeight="1">
      <c r="A42" s="226" t="s">
        <v>127</v>
      </c>
      <c r="B42" s="227">
        <v>874.822</v>
      </c>
      <c r="C42" s="228">
        <v>1051.193</v>
      </c>
      <c r="D42" s="228">
        <v>1229.8810000000001</v>
      </c>
      <c r="E42" s="228">
        <v>1303.4559999999999</v>
      </c>
      <c r="F42" s="228">
        <v>1346.088</v>
      </c>
      <c r="G42" s="228">
        <v>1370.02</v>
      </c>
      <c r="H42" s="235">
        <v>1710.86474</v>
      </c>
      <c r="I42" s="235">
        <v>1897.3778199999999</v>
      </c>
      <c r="J42" s="235">
        <v>2328.7839151200001</v>
      </c>
      <c r="K42" s="235">
        <v>2662.1008384299998</v>
      </c>
      <c r="L42" s="235">
        <v>2931.6</v>
      </c>
      <c r="M42" s="236">
        <v>3779.9362276799998</v>
      </c>
      <c r="N42" s="235">
        <v>3808.6</v>
      </c>
      <c r="O42" s="235">
        <v>4090.2867387199999</v>
      </c>
      <c r="P42" s="235">
        <v>4043.2438347000002</v>
      </c>
      <c r="Q42" s="235">
        <v>4375.5880884199996</v>
      </c>
      <c r="R42" s="235">
        <v>4719.8144025399997</v>
      </c>
      <c r="S42" s="235">
        <v>4691.3509737799995</v>
      </c>
      <c r="T42" s="235">
        <v>4911.4308789799998</v>
      </c>
      <c r="U42" s="235">
        <v>4978.8156548799998</v>
      </c>
      <c r="V42" s="228">
        <v>5148.7971807200001</v>
      </c>
    </row>
    <row r="43" spans="1:22" s="225" customFormat="1" ht="13.5" customHeight="1">
      <c r="A43" s="226" t="s">
        <v>128</v>
      </c>
      <c r="B43" s="227">
        <v>263.06799999999998</v>
      </c>
      <c r="C43" s="228">
        <v>322.11599999999999</v>
      </c>
      <c r="D43" s="228">
        <v>389.642</v>
      </c>
      <c r="E43" s="228">
        <v>458.822</v>
      </c>
      <c r="F43" s="228">
        <v>512.32100000000003</v>
      </c>
      <c r="G43" s="228">
        <v>533.55999999999995</v>
      </c>
      <c r="H43" s="235">
        <v>577.05706999999995</v>
      </c>
      <c r="I43" s="235">
        <v>790.82826</v>
      </c>
      <c r="J43" s="235">
        <v>923.71477918000005</v>
      </c>
      <c r="K43" s="235">
        <v>1036.2174126800001</v>
      </c>
      <c r="L43" s="235">
        <v>1149</v>
      </c>
      <c r="M43" s="236">
        <v>1307.11254349</v>
      </c>
      <c r="N43" s="235">
        <v>1385.4</v>
      </c>
      <c r="O43" s="235">
        <v>1446.3640947700001</v>
      </c>
      <c r="P43" s="235">
        <v>1460.00514666</v>
      </c>
      <c r="Q43" s="235">
        <v>1688.8839797999999</v>
      </c>
      <c r="R43" s="235">
        <v>2019.22150465</v>
      </c>
      <c r="S43" s="235">
        <v>2168.1553639899998</v>
      </c>
      <c r="T43" s="235">
        <v>2343.0532338100002</v>
      </c>
      <c r="U43" s="235">
        <v>2571.37418905</v>
      </c>
      <c r="V43" s="228">
        <v>2643.84763664</v>
      </c>
    </row>
    <row r="44" spans="1:22" s="225" customFormat="1" ht="13.5" customHeight="1">
      <c r="A44" s="229" t="s">
        <v>129</v>
      </c>
      <c r="B44" s="230">
        <v>57.875</v>
      </c>
      <c r="C44" s="231">
        <v>70.802999999999997</v>
      </c>
      <c r="D44" s="231">
        <v>88.927999999999997</v>
      </c>
      <c r="E44" s="231">
        <v>93.825000000000003</v>
      </c>
      <c r="F44" s="231">
        <v>115.94799999999999</v>
      </c>
      <c r="G44" s="231">
        <v>125.52</v>
      </c>
      <c r="H44" s="244">
        <v>138.15171000000001</v>
      </c>
      <c r="I44" s="244">
        <v>201.60834</v>
      </c>
      <c r="J44" s="244">
        <v>234.95690212</v>
      </c>
      <c r="K44" s="244">
        <v>287.91721805999998</v>
      </c>
      <c r="L44" s="244">
        <v>329.2</v>
      </c>
      <c r="M44" s="245">
        <v>381.31292271000001</v>
      </c>
      <c r="N44" s="244">
        <v>427.1</v>
      </c>
      <c r="O44" s="244">
        <v>438.15892897999998</v>
      </c>
      <c r="P44" s="244">
        <v>447.44121612999999</v>
      </c>
      <c r="Q44" s="244">
        <v>523.74317284999995</v>
      </c>
      <c r="R44" s="244">
        <v>596.94681018999995</v>
      </c>
      <c r="S44" s="244">
        <v>611.59034196000005</v>
      </c>
      <c r="T44" s="244">
        <v>665.19539111999995</v>
      </c>
      <c r="U44" s="244">
        <v>667.80127178999999</v>
      </c>
      <c r="V44" s="244">
        <v>685.06172319999996</v>
      </c>
    </row>
    <row r="45" spans="1:22" s="225" customFormat="1" ht="15" customHeight="1">
      <c r="A45" s="232" t="s">
        <v>139</v>
      </c>
      <c r="B45" s="233">
        <v>2568.5239999999999</v>
      </c>
      <c r="C45" s="234">
        <v>3183.0059999999999</v>
      </c>
      <c r="D45" s="234">
        <v>4258.0550000000003</v>
      </c>
      <c r="E45" s="234">
        <v>5577.1779999999999</v>
      </c>
      <c r="F45" s="234">
        <v>5922.5190000000002</v>
      </c>
      <c r="G45" s="234">
        <v>6976.15</v>
      </c>
      <c r="H45" s="234">
        <v>8402.9357199999995</v>
      </c>
      <c r="I45" s="234">
        <v>9161.6594000000005</v>
      </c>
      <c r="J45" s="234">
        <v>10225.31553659</v>
      </c>
      <c r="K45" s="234">
        <v>12374.29369158</v>
      </c>
      <c r="L45" s="234">
        <v>12819.6</v>
      </c>
      <c r="M45" s="233">
        <v>17400.155112320001</v>
      </c>
      <c r="N45" s="234">
        <v>18923.900000000001</v>
      </c>
      <c r="O45" s="234">
        <v>22140.52106549</v>
      </c>
      <c r="P45" s="234">
        <v>26464.0085994</v>
      </c>
      <c r="Q45" s="234">
        <v>26547.65982764</v>
      </c>
      <c r="R45" s="234">
        <v>28185.518981289999</v>
      </c>
      <c r="S45" s="234">
        <v>28194.554097910001</v>
      </c>
      <c r="T45" s="234">
        <v>30117.043364860001</v>
      </c>
      <c r="U45" s="234">
        <v>31192.578849410002</v>
      </c>
      <c r="V45" s="234">
        <v>32200.38983235</v>
      </c>
    </row>
    <row r="46" spans="1:22" s="246" customFormat="1" ht="13.5" customHeight="1">
      <c r="A46" s="226" t="s">
        <v>127</v>
      </c>
      <c r="B46" s="227">
        <v>1946.171</v>
      </c>
      <c r="C46" s="228">
        <v>2453.6889999999999</v>
      </c>
      <c r="D46" s="228">
        <v>3303.0219999999999</v>
      </c>
      <c r="E46" s="228">
        <v>4400.3519999999999</v>
      </c>
      <c r="F46" s="228">
        <v>4570.2579999999998</v>
      </c>
      <c r="G46" s="228">
        <v>5465.24</v>
      </c>
      <c r="H46" s="235">
        <v>6758.6155900000003</v>
      </c>
      <c r="I46" s="235">
        <v>7107.6087200000002</v>
      </c>
      <c r="J46" s="235">
        <v>7803.6488205799997</v>
      </c>
      <c r="K46" s="235">
        <v>9590.3684236000008</v>
      </c>
      <c r="L46" s="235">
        <v>10023.299999999999</v>
      </c>
      <c r="M46" s="236">
        <v>14227.378192329999</v>
      </c>
      <c r="N46" s="235">
        <v>15345.8</v>
      </c>
      <c r="O46" s="235">
        <v>18286.878800490002</v>
      </c>
      <c r="P46" s="235">
        <v>22214.300251960001</v>
      </c>
      <c r="Q46" s="235">
        <v>21903.149093970002</v>
      </c>
      <c r="R46" s="235">
        <v>23357.841288420001</v>
      </c>
      <c r="S46" s="235">
        <v>23049.759196269999</v>
      </c>
      <c r="T46" s="235">
        <v>24099.829241660002</v>
      </c>
      <c r="U46" s="235">
        <v>23555.321308390001</v>
      </c>
      <c r="V46" s="228">
        <v>24321.167991350001</v>
      </c>
    </row>
    <row r="47" spans="1:22" s="200" customFormat="1" ht="13.5" customHeight="1">
      <c r="A47" s="226" t="s">
        <v>128</v>
      </c>
      <c r="B47" s="227">
        <v>506.51299999999998</v>
      </c>
      <c r="C47" s="228">
        <v>602.40800000000002</v>
      </c>
      <c r="D47" s="228">
        <v>796.25300000000004</v>
      </c>
      <c r="E47" s="228">
        <v>990.45699999999999</v>
      </c>
      <c r="F47" s="228">
        <v>1139.585</v>
      </c>
      <c r="G47" s="228">
        <v>1266.8</v>
      </c>
      <c r="H47" s="235">
        <v>1369.3242700000001</v>
      </c>
      <c r="I47" s="235">
        <v>1690.9011499999999</v>
      </c>
      <c r="J47" s="235">
        <v>1958.8997341899999</v>
      </c>
      <c r="K47" s="235">
        <v>2251.0035238199998</v>
      </c>
      <c r="L47" s="235">
        <v>2248</v>
      </c>
      <c r="M47" s="236">
        <v>2536.0506120099999</v>
      </c>
      <c r="N47" s="235">
        <v>2844.7</v>
      </c>
      <c r="O47" s="235">
        <v>3040.5724092099999</v>
      </c>
      <c r="P47" s="235">
        <v>3344.4809047700001</v>
      </c>
      <c r="Q47" s="235">
        <v>3650.22350078</v>
      </c>
      <c r="R47" s="235">
        <v>3808.45385248</v>
      </c>
      <c r="S47" s="235">
        <v>4069.92607383</v>
      </c>
      <c r="T47" s="235">
        <v>4671.6115791599996</v>
      </c>
      <c r="U47" s="235">
        <v>5819.94260037</v>
      </c>
      <c r="V47" s="228">
        <v>6029.6004223800001</v>
      </c>
    </row>
    <row r="48" spans="1:22" s="200" customFormat="1" ht="13.5" customHeight="1">
      <c r="A48" s="229" t="s">
        <v>129</v>
      </c>
      <c r="B48" s="230">
        <v>115.84</v>
      </c>
      <c r="C48" s="231">
        <v>126.90900000000001</v>
      </c>
      <c r="D48" s="231">
        <v>158.78</v>
      </c>
      <c r="E48" s="231">
        <v>186.369</v>
      </c>
      <c r="F48" s="231">
        <v>212.67599999999999</v>
      </c>
      <c r="G48" s="231">
        <v>244.11</v>
      </c>
      <c r="H48" s="244">
        <v>274.99585999999999</v>
      </c>
      <c r="I48" s="244">
        <v>363.14953000000003</v>
      </c>
      <c r="J48" s="244">
        <v>462.76698182000001</v>
      </c>
      <c r="K48" s="244">
        <v>532.92174416</v>
      </c>
      <c r="L48" s="244">
        <v>548.29999999999995</v>
      </c>
      <c r="M48" s="245">
        <v>636.72630798</v>
      </c>
      <c r="N48" s="244">
        <v>733.4</v>
      </c>
      <c r="O48" s="244">
        <v>813.06985579000002</v>
      </c>
      <c r="P48" s="244">
        <v>905.22744266999996</v>
      </c>
      <c r="Q48" s="244">
        <v>994.28723289000004</v>
      </c>
      <c r="R48" s="244">
        <v>1019.22384039</v>
      </c>
      <c r="S48" s="244">
        <v>1074.8688278100001</v>
      </c>
      <c r="T48" s="244">
        <v>1345.6025440400001</v>
      </c>
      <c r="U48" s="244">
        <v>1817.3149406499999</v>
      </c>
      <c r="V48" s="244">
        <v>1849.62141862</v>
      </c>
    </row>
    <row r="49" spans="1:22" s="200" customFormat="1" ht="15" customHeight="1">
      <c r="A49" s="232" t="s">
        <v>140</v>
      </c>
      <c r="B49" s="233">
        <v>2581.9209999999998</v>
      </c>
      <c r="C49" s="234">
        <v>2053.7130000000002</v>
      </c>
      <c r="D49" s="234">
        <v>2060.5970000000002</v>
      </c>
      <c r="E49" s="234">
        <v>2141.7109999999998</v>
      </c>
      <c r="F49" s="234">
        <v>2255.8150000000001</v>
      </c>
      <c r="G49" s="234">
        <v>2593.64</v>
      </c>
      <c r="H49" s="234">
        <v>2799.6879899999999</v>
      </c>
      <c r="I49" s="234">
        <v>3454.1191800000001</v>
      </c>
      <c r="J49" s="234">
        <v>484.15844269000002</v>
      </c>
      <c r="K49" s="234">
        <v>369.84094427000002</v>
      </c>
      <c r="L49" s="234" t="s">
        <v>141</v>
      </c>
      <c r="M49" s="233" t="s">
        <v>141</v>
      </c>
      <c r="N49" s="234" t="s">
        <v>141</v>
      </c>
      <c r="O49" s="234" t="s">
        <v>141</v>
      </c>
      <c r="P49" s="234" t="s">
        <v>141</v>
      </c>
      <c r="Q49" s="234" t="s">
        <v>141</v>
      </c>
      <c r="R49" s="234" t="s">
        <v>141</v>
      </c>
      <c r="S49" s="234" t="s">
        <v>141</v>
      </c>
      <c r="T49" s="234" t="s">
        <v>141</v>
      </c>
      <c r="U49" s="234" t="s">
        <v>141</v>
      </c>
      <c r="V49" s="247">
        <v>0</v>
      </c>
    </row>
    <row r="50" spans="1:22" s="200" customFormat="1" ht="13.5" customHeight="1">
      <c r="A50" s="226" t="s">
        <v>142</v>
      </c>
      <c r="B50" s="227">
        <v>1724.365</v>
      </c>
      <c r="C50" s="228">
        <v>1610.519</v>
      </c>
      <c r="D50" s="228">
        <v>1607.63</v>
      </c>
      <c r="E50" s="228">
        <v>1882.251</v>
      </c>
      <c r="F50" s="228">
        <v>1918.682</v>
      </c>
      <c r="G50" s="228">
        <v>2312.02</v>
      </c>
      <c r="H50" s="235">
        <v>2500.0051199999998</v>
      </c>
      <c r="I50" s="235">
        <v>2909.2031699999998</v>
      </c>
      <c r="J50" s="228" t="s">
        <v>141</v>
      </c>
      <c r="K50" s="228" t="s">
        <v>141</v>
      </c>
      <c r="L50" s="228" t="s">
        <v>141</v>
      </c>
      <c r="M50" s="227" t="s">
        <v>141</v>
      </c>
      <c r="N50" s="228" t="s">
        <v>141</v>
      </c>
      <c r="O50" s="228" t="s">
        <v>141</v>
      </c>
      <c r="P50" s="228" t="s">
        <v>141</v>
      </c>
      <c r="Q50" s="228" t="s">
        <v>141</v>
      </c>
      <c r="R50" s="228" t="s">
        <v>141</v>
      </c>
      <c r="S50" s="228" t="s">
        <v>141</v>
      </c>
      <c r="T50" s="228" t="s">
        <v>141</v>
      </c>
      <c r="U50" s="228" t="s">
        <v>141</v>
      </c>
      <c r="V50" s="247">
        <v>0</v>
      </c>
    </row>
    <row r="51" spans="1:22" s="200" customFormat="1" ht="13.5" customHeight="1">
      <c r="A51" s="226" t="s">
        <v>143</v>
      </c>
      <c r="B51" s="227">
        <v>857.55600000000004</v>
      </c>
      <c r="C51" s="228">
        <v>443.19400000000002</v>
      </c>
      <c r="D51" s="228">
        <v>452.96699999999998</v>
      </c>
      <c r="E51" s="228">
        <v>259.45999999999998</v>
      </c>
      <c r="F51" s="228">
        <v>337.13299999999998</v>
      </c>
      <c r="G51" s="228">
        <v>281.62</v>
      </c>
      <c r="H51" s="235">
        <v>299.68286999999998</v>
      </c>
      <c r="I51" s="235">
        <v>544.91601000000003</v>
      </c>
      <c r="J51" s="235">
        <v>484.15844269000002</v>
      </c>
      <c r="K51" s="235">
        <v>369.84094427000002</v>
      </c>
      <c r="L51" s="228" t="s">
        <v>141</v>
      </c>
      <c r="M51" s="227" t="s">
        <v>141</v>
      </c>
      <c r="N51" s="228" t="s">
        <v>141</v>
      </c>
      <c r="O51" s="228" t="s">
        <v>141</v>
      </c>
      <c r="P51" s="228" t="s">
        <v>141</v>
      </c>
      <c r="Q51" s="228" t="s">
        <v>141</v>
      </c>
      <c r="R51" s="228" t="s">
        <v>141</v>
      </c>
      <c r="S51" s="228" t="s">
        <v>141</v>
      </c>
      <c r="T51" s="228" t="s">
        <v>141</v>
      </c>
      <c r="U51" s="228" t="s">
        <v>141</v>
      </c>
      <c r="V51" s="247">
        <v>0</v>
      </c>
    </row>
    <row r="52" spans="1:22" s="200" customFormat="1" ht="13.5" customHeight="1">
      <c r="A52" s="248" t="s">
        <v>144</v>
      </c>
      <c r="B52" s="249" t="s">
        <v>141</v>
      </c>
      <c r="C52" s="250" t="s">
        <v>141</v>
      </c>
      <c r="D52" s="250" t="s">
        <v>141</v>
      </c>
      <c r="E52" s="250" t="s">
        <v>141</v>
      </c>
      <c r="F52" s="250" t="s">
        <v>141</v>
      </c>
      <c r="G52" s="250" t="s">
        <v>141</v>
      </c>
      <c r="H52" s="250" t="s">
        <v>141</v>
      </c>
      <c r="I52" s="250" t="s">
        <v>141</v>
      </c>
      <c r="J52" s="250" t="s">
        <v>141</v>
      </c>
      <c r="K52" s="231" t="s">
        <v>141</v>
      </c>
      <c r="L52" s="231" t="s">
        <v>141</v>
      </c>
      <c r="M52" s="243">
        <v>4834.8957292599998</v>
      </c>
      <c r="N52" s="242">
        <v>5606.4</v>
      </c>
      <c r="O52" s="242">
        <v>6082.3348088599996</v>
      </c>
      <c r="P52" s="242">
        <v>7005.6298720000004</v>
      </c>
      <c r="Q52" s="242">
        <v>7034.8681060700001</v>
      </c>
      <c r="R52" s="242">
        <v>8004.3059855000001</v>
      </c>
      <c r="S52" s="242">
        <v>9016.5877217199995</v>
      </c>
      <c r="T52" s="242">
        <v>9691.8485290000008</v>
      </c>
      <c r="U52" s="242">
        <v>10465.886253000001</v>
      </c>
      <c r="V52" s="242">
        <v>8378.6678603799992</v>
      </c>
    </row>
    <row r="53" spans="1:22" s="200" customFormat="1" ht="15.75" customHeight="1">
      <c r="A53" s="251" t="s">
        <v>145</v>
      </c>
      <c r="B53" s="249" t="s">
        <v>141</v>
      </c>
      <c r="C53" s="250" t="s">
        <v>141</v>
      </c>
      <c r="D53" s="250" t="s">
        <v>141</v>
      </c>
      <c r="E53" s="250" t="s">
        <v>141</v>
      </c>
      <c r="F53" s="250" t="s">
        <v>141</v>
      </c>
      <c r="G53" s="250" t="s">
        <v>141</v>
      </c>
      <c r="H53" s="250" t="s">
        <v>141</v>
      </c>
      <c r="I53" s="250" t="s">
        <v>141</v>
      </c>
      <c r="J53" s="250" t="s">
        <v>141</v>
      </c>
      <c r="K53" s="231" t="s">
        <v>141</v>
      </c>
      <c r="L53" s="242">
        <v>6218.3</v>
      </c>
      <c r="M53" s="252" t="s">
        <v>141</v>
      </c>
      <c r="N53" s="253" t="s">
        <v>141</v>
      </c>
      <c r="O53" s="253" t="s">
        <v>141</v>
      </c>
      <c r="P53" s="254" t="s">
        <v>141</v>
      </c>
      <c r="Q53" s="254" t="s">
        <v>141</v>
      </c>
      <c r="R53" s="254" t="s">
        <v>141</v>
      </c>
      <c r="S53" s="254" t="s">
        <v>141</v>
      </c>
      <c r="T53" s="254" t="s">
        <v>141</v>
      </c>
      <c r="U53" s="255" t="s">
        <v>141</v>
      </c>
      <c r="V53" s="228" t="s">
        <v>141</v>
      </c>
    </row>
    <row r="54" spans="1:22" s="200" customFormat="1" ht="13.5" customHeight="1">
      <c r="A54" s="256" t="s">
        <v>3</v>
      </c>
      <c r="B54" s="257">
        <v>37894.966</v>
      </c>
      <c r="C54" s="258">
        <v>40900.883000000002</v>
      </c>
      <c r="D54" s="258">
        <v>44529.741999999998</v>
      </c>
      <c r="E54" s="258">
        <v>47946.593999999997</v>
      </c>
      <c r="F54" s="258">
        <v>51571.036999999997</v>
      </c>
      <c r="G54" s="258">
        <v>58240.51</v>
      </c>
      <c r="H54" s="258">
        <v>65449.399850000002</v>
      </c>
      <c r="I54" s="258">
        <v>75029.037970000005</v>
      </c>
      <c r="J54" s="258">
        <v>78974.773099190003</v>
      </c>
      <c r="K54" s="258">
        <v>89431.501226609995</v>
      </c>
      <c r="L54" s="258">
        <v>100286.60089342001</v>
      </c>
      <c r="M54" s="257">
        <v>115011.91802471</v>
      </c>
      <c r="N54" s="258">
        <v>126878.39999999999</v>
      </c>
      <c r="O54" s="258">
        <v>144483.67447959</v>
      </c>
      <c r="P54" s="258">
        <v>167066.25927247299</v>
      </c>
      <c r="Q54" s="258">
        <v>183278.15205947999</v>
      </c>
      <c r="R54" s="258">
        <v>197481.48523834001</v>
      </c>
      <c r="S54" s="258">
        <v>204501.58676683001</v>
      </c>
      <c r="T54" s="258">
        <v>221981.32387866001</v>
      </c>
      <c r="U54" s="258">
        <v>239420.14367113</v>
      </c>
      <c r="V54" s="258">
        <v>245662.41977381799</v>
      </c>
    </row>
    <row r="55" spans="1:22" s="200" customFormat="1" ht="15" customHeight="1">
      <c r="A55" s="259" t="s">
        <v>146</v>
      </c>
      <c r="B55" s="227">
        <v>22738.714</v>
      </c>
      <c r="C55" s="228">
        <v>24189.942999999999</v>
      </c>
      <c r="D55" s="228">
        <v>26178.133999999998</v>
      </c>
      <c r="E55" s="228">
        <v>27151.61</v>
      </c>
      <c r="F55" s="228">
        <v>28663.957999999999</v>
      </c>
      <c r="G55" s="228">
        <v>33772.28</v>
      </c>
      <c r="H55" s="228">
        <v>37345.831469999997</v>
      </c>
      <c r="I55" s="228">
        <v>43400.418599999997</v>
      </c>
      <c r="J55" s="228">
        <v>42739.892917919999</v>
      </c>
      <c r="K55" s="228">
        <v>49603.822500440001</v>
      </c>
      <c r="L55" s="228">
        <v>57823.300893419997</v>
      </c>
      <c r="M55" s="227">
        <v>67937.973829220005</v>
      </c>
      <c r="N55" s="228">
        <v>75257.8</v>
      </c>
      <c r="O55" s="228">
        <v>86772.517885941197</v>
      </c>
      <c r="P55" s="228">
        <v>101228.120854443</v>
      </c>
      <c r="Q55" s="228">
        <v>110013.70695187</v>
      </c>
      <c r="R55" s="228">
        <v>118639.07884890999</v>
      </c>
      <c r="S55" s="228">
        <v>123177.64343214</v>
      </c>
      <c r="T55" s="228">
        <v>133947.27579779</v>
      </c>
      <c r="U55" s="228">
        <v>143313.73063167999</v>
      </c>
      <c r="V55" s="228">
        <v>146511.918810448</v>
      </c>
    </row>
    <row r="56" spans="1:22" s="200" customFormat="1" ht="13.5" customHeight="1">
      <c r="A56" s="226" t="s">
        <v>147</v>
      </c>
      <c r="B56" s="227">
        <v>10370.98</v>
      </c>
      <c r="C56" s="228">
        <v>11526.772999999999</v>
      </c>
      <c r="D56" s="228">
        <v>12522.804</v>
      </c>
      <c r="E56" s="228">
        <v>14167.441999999999</v>
      </c>
      <c r="F56" s="228">
        <v>15433.239</v>
      </c>
      <c r="G56" s="228">
        <v>16280</v>
      </c>
      <c r="H56" s="228">
        <v>18763.537619999999</v>
      </c>
      <c r="I56" s="228">
        <v>20973.64241</v>
      </c>
      <c r="J56" s="228">
        <v>24433.607504359999</v>
      </c>
      <c r="K56" s="228">
        <v>26832.97842223</v>
      </c>
      <c r="L56" s="228">
        <v>27817.7</v>
      </c>
      <c r="M56" s="227">
        <v>30542.3082909</v>
      </c>
      <c r="N56" s="228">
        <v>33179</v>
      </c>
      <c r="O56" s="228">
        <v>36944.827779589003</v>
      </c>
      <c r="P56" s="228">
        <v>41454.329357740004</v>
      </c>
      <c r="Q56" s="228">
        <v>46412.239860349997</v>
      </c>
      <c r="R56" s="228">
        <v>50512.387635999999</v>
      </c>
      <c r="S56" s="228">
        <v>51858.203515250003</v>
      </c>
      <c r="T56" s="228">
        <v>56470.088757930003</v>
      </c>
      <c r="U56" s="228">
        <v>61143.208622359998</v>
      </c>
      <c r="V56" s="228">
        <v>63143.307392180002</v>
      </c>
    </row>
    <row r="57" spans="1:22" s="200" customFormat="1" ht="15" customHeight="1">
      <c r="A57" s="229" t="s">
        <v>148</v>
      </c>
      <c r="B57" s="230">
        <v>4785.2719999999999</v>
      </c>
      <c r="C57" s="231">
        <v>5184.1670000000004</v>
      </c>
      <c r="D57" s="231">
        <v>5828.8040000000001</v>
      </c>
      <c r="E57" s="231">
        <v>6627.5420000000004</v>
      </c>
      <c r="F57" s="231">
        <v>7473.84</v>
      </c>
      <c r="G57" s="231">
        <v>8188.23</v>
      </c>
      <c r="H57" s="231">
        <v>9340.0307599999996</v>
      </c>
      <c r="I57" s="231">
        <v>10654.97696</v>
      </c>
      <c r="J57" s="231">
        <v>11801.172676910001</v>
      </c>
      <c r="K57" s="231">
        <v>12994.700303940001</v>
      </c>
      <c r="L57" s="231">
        <v>14645.6</v>
      </c>
      <c r="M57" s="230">
        <v>16531.635904589999</v>
      </c>
      <c r="N57" s="231">
        <v>18441.5</v>
      </c>
      <c r="O57" s="231">
        <v>20766.3288140597</v>
      </c>
      <c r="P57" s="231">
        <v>24383.809060290001</v>
      </c>
      <c r="Q57" s="231">
        <v>26852.205247260001</v>
      </c>
      <c r="R57" s="231">
        <v>28330.018753429998</v>
      </c>
      <c r="S57" s="231">
        <v>29465.739819440001</v>
      </c>
      <c r="T57" s="231">
        <v>31563.959322940002</v>
      </c>
      <c r="U57" s="228">
        <v>34963.204417089997</v>
      </c>
      <c r="V57" s="228">
        <v>36007.193571190001</v>
      </c>
    </row>
    <row r="58" spans="1:22" s="200" customFormat="1" ht="13.5" customHeight="1">
      <c r="A58" s="260" t="s">
        <v>149</v>
      </c>
      <c r="B58" s="257">
        <v>37894.966</v>
      </c>
      <c r="C58" s="258">
        <v>40900.883000000002</v>
      </c>
      <c r="D58" s="258">
        <v>44529.741999999998</v>
      </c>
      <c r="E58" s="258">
        <v>47946.593999999997</v>
      </c>
      <c r="F58" s="258">
        <v>51571.036999999997</v>
      </c>
      <c r="G58" s="258">
        <v>58240.51</v>
      </c>
      <c r="H58" s="258">
        <v>65449.399850000002</v>
      </c>
      <c r="I58" s="258">
        <v>75029.037970000005</v>
      </c>
      <c r="J58" s="258">
        <v>78974.673099189997</v>
      </c>
      <c r="K58" s="258">
        <v>89431.501226609995</v>
      </c>
      <c r="L58" s="258">
        <v>100286.60089342001</v>
      </c>
      <c r="M58" s="257">
        <v>115011.91802471</v>
      </c>
      <c r="N58" s="258">
        <v>126878.3</v>
      </c>
      <c r="O58" s="258">
        <v>144483.67447959</v>
      </c>
      <c r="P58" s="258">
        <v>167066.25927247299</v>
      </c>
      <c r="Q58" s="258">
        <v>183278.15205947999</v>
      </c>
      <c r="R58" s="258">
        <v>197481.48523834001</v>
      </c>
      <c r="S58" s="258">
        <v>204501.58676683001</v>
      </c>
      <c r="T58" s="258">
        <v>221981.32387866001</v>
      </c>
      <c r="U58" s="258">
        <v>239420.14367113</v>
      </c>
      <c r="V58" s="258">
        <v>245662.41977381799</v>
      </c>
    </row>
    <row r="59" spans="1:22" s="200" customFormat="1" ht="15" customHeight="1">
      <c r="A59" s="226" t="s">
        <v>146</v>
      </c>
      <c r="B59" s="227">
        <v>22738.714</v>
      </c>
      <c r="C59" s="228">
        <v>24189.942999999999</v>
      </c>
      <c r="D59" s="228">
        <v>26178.133999999998</v>
      </c>
      <c r="E59" s="228">
        <v>27151.61</v>
      </c>
      <c r="F59" s="228">
        <v>28663.957999999999</v>
      </c>
      <c r="G59" s="228">
        <v>33772.28</v>
      </c>
      <c r="H59" s="228">
        <v>37345.831469999997</v>
      </c>
      <c r="I59" s="228">
        <v>43400.418599999997</v>
      </c>
      <c r="J59" s="228">
        <v>42739.892917919999</v>
      </c>
      <c r="K59" s="228">
        <v>49603.822500440001</v>
      </c>
      <c r="L59" s="228">
        <v>57823.300893419997</v>
      </c>
      <c r="M59" s="227">
        <v>67937.973829220005</v>
      </c>
      <c r="N59" s="228">
        <v>75257.8</v>
      </c>
      <c r="O59" s="228">
        <v>86772.517885941197</v>
      </c>
      <c r="P59" s="228">
        <v>101228.120854443</v>
      </c>
      <c r="Q59" s="228">
        <v>110013.70695187</v>
      </c>
      <c r="R59" s="228">
        <v>118639.07884890999</v>
      </c>
      <c r="S59" s="228">
        <v>123177.64343214</v>
      </c>
      <c r="T59" s="228">
        <v>133947.27579779</v>
      </c>
      <c r="U59" s="228">
        <v>143313.73063167999</v>
      </c>
      <c r="V59" s="228">
        <v>146511.918810448</v>
      </c>
    </row>
    <row r="60" spans="1:22" s="200" customFormat="1" ht="15" customHeight="1">
      <c r="A60" s="229" t="s">
        <v>150</v>
      </c>
      <c r="B60" s="230">
        <v>15156.252</v>
      </c>
      <c r="C60" s="231">
        <v>16710.939999999999</v>
      </c>
      <c r="D60" s="231">
        <v>18351.608</v>
      </c>
      <c r="E60" s="231">
        <v>20794.984</v>
      </c>
      <c r="F60" s="231">
        <v>22907.079000000002</v>
      </c>
      <c r="G60" s="231">
        <v>24468.23</v>
      </c>
      <c r="H60" s="231">
        <v>28103.568380000001</v>
      </c>
      <c r="I60" s="231">
        <v>31628.61937</v>
      </c>
      <c r="J60" s="231">
        <v>36234.780181269998</v>
      </c>
      <c r="K60" s="231">
        <v>39827.678726170001</v>
      </c>
      <c r="L60" s="231">
        <v>42463.3</v>
      </c>
      <c r="M60" s="230">
        <v>47073.944195490003</v>
      </c>
      <c r="N60" s="231">
        <v>51620.5</v>
      </c>
      <c r="O60" s="231">
        <v>57711.156593648797</v>
      </c>
      <c r="P60" s="231">
        <v>65838.138418029994</v>
      </c>
      <c r="Q60" s="231">
        <v>73264.445107609994</v>
      </c>
      <c r="R60" s="231">
        <v>78842.406389430005</v>
      </c>
      <c r="S60" s="231">
        <v>81323.943334690004</v>
      </c>
      <c r="T60" s="231">
        <v>88034.048080869994</v>
      </c>
      <c r="U60" s="231">
        <v>96106.413039449995</v>
      </c>
      <c r="V60" s="231">
        <v>99150.500963369996</v>
      </c>
    </row>
    <row r="61" spans="1:22" s="226" customFormat="1" ht="9.75" customHeight="1">
      <c r="A61" s="261"/>
      <c r="M61" s="199"/>
      <c r="N61" s="199"/>
      <c r="O61" s="199"/>
      <c r="P61" s="199"/>
    </row>
    <row r="62" spans="1:22">
      <c r="M62" s="199"/>
      <c r="N62" s="199"/>
      <c r="O62" s="199"/>
      <c r="P62" s="199"/>
      <c r="Q62" s="226"/>
      <c r="R62" s="226"/>
      <c r="S62" s="226"/>
      <c r="T62" s="226"/>
      <c r="U62" s="226"/>
      <c r="V62" s="226"/>
    </row>
    <row r="63" spans="1:22">
      <c r="A63" s="195" t="s">
        <v>151</v>
      </c>
      <c r="B63" s="263"/>
      <c r="C63" s="263"/>
      <c r="D63" s="264"/>
      <c r="E63" s="264"/>
      <c r="F63" s="264"/>
      <c r="G63" s="264"/>
      <c r="H63" s="200"/>
      <c r="I63" s="200"/>
      <c r="M63" s="261"/>
      <c r="N63" s="261"/>
      <c r="O63" s="261"/>
      <c r="P63" s="261"/>
      <c r="Q63" s="261"/>
      <c r="R63" s="200"/>
      <c r="S63" s="200"/>
      <c r="T63" s="200"/>
      <c r="U63" s="200"/>
      <c r="V63" s="200"/>
    </row>
    <row r="64" spans="1:22">
      <c r="A64" s="265" t="s">
        <v>152</v>
      </c>
      <c r="B64" s="263"/>
      <c r="C64" s="263"/>
      <c r="D64" s="264"/>
      <c r="E64" s="264"/>
      <c r="F64" s="264"/>
      <c r="G64" s="264"/>
      <c r="H64" s="200"/>
      <c r="I64" s="200"/>
      <c r="M64" s="261"/>
      <c r="N64" s="261"/>
      <c r="O64" s="261"/>
      <c r="P64" s="261"/>
      <c r="Q64" s="261"/>
      <c r="R64" s="200"/>
      <c r="S64" s="200"/>
      <c r="T64" s="200"/>
      <c r="U64" s="200"/>
      <c r="V64" s="200"/>
    </row>
    <row r="65" spans="1:1021 16379:16381">
      <c r="A65" s="195"/>
      <c r="B65" s="263"/>
      <c r="C65" s="263"/>
      <c r="D65" s="264"/>
      <c r="E65" s="264"/>
      <c r="F65" s="264"/>
      <c r="G65" s="264"/>
      <c r="H65" s="200"/>
      <c r="I65" s="200"/>
      <c r="M65" s="266" t="s">
        <v>115</v>
      </c>
      <c r="N65" s="261"/>
      <c r="O65" s="261"/>
      <c r="P65" s="261"/>
      <c r="Q65" s="261"/>
      <c r="R65" s="200"/>
      <c r="S65" s="200"/>
      <c r="T65" s="200"/>
      <c r="U65" s="200"/>
      <c r="V65" s="266"/>
    </row>
    <row r="66" spans="1:1021 16379:16381" ht="15">
      <c r="A66" s="267" t="s">
        <v>117</v>
      </c>
      <c r="B66" s="641" t="s">
        <v>153</v>
      </c>
      <c r="C66" s="641"/>
      <c r="D66" s="641"/>
      <c r="E66" s="641"/>
      <c r="F66" s="641"/>
      <c r="G66" s="641"/>
      <c r="H66" s="641"/>
      <c r="I66" s="641"/>
      <c r="J66" s="641"/>
      <c r="K66" s="641"/>
      <c r="L66" s="641"/>
      <c r="M66" s="641"/>
      <c r="N66" s="642" t="s">
        <v>153</v>
      </c>
      <c r="O66" s="642"/>
      <c r="P66" s="642"/>
      <c r="Q66" s="642"/>
      <c r="R66" s="642"/>
      <c r="S66" s="642"/>
      <c r="T66" s="642"/>
      <c r="U66" s="642"/>
      <c r="V66" s="642"/>
    </row>
    <row r="67" spans="1:1021 16379:16381" ht="15">
      <c r="A67" s="268"/>
      <c r="B67" s="269"/>
      <c r="C67" s="269"/>
      <c r="D67" s="269"/>
      <c r="E67" s="269"/>
      <c r="F67" s="269"/>
      <c r="G67" s="269"/>
      <c r="H67" s="269"/>
      <c r="I67" s="269"/>
      <c r="J67" s="269"/>
      <c r="K67" s="269"/>
      <c r="L67" s="269"/>
      <c r="M67" s="269"/>
      <c r="N67" s="269"/>
      <c r="O67" s="269"/>
      <c r="P67" s="269"/>
      <c r="Q67" s="269"/>
      <c r="R67" s="269"/>
      <c r="S67" s="269"/>
      <c r="T67" s="269"/>
      <c r="U67" s="270"/>
      <c r="V67" s="270"/>
      <c r="AME67"/>
      <c r="AMF67"/>
      <c r="AMG67"/>
      <c r="XEY67" s="200"/>
      <c r="XEZ67" s="200"/>
      <c r="XFA67" s="200"/>
    </row>
    <row r="68" spans="1:1021 16379:16381" ht="15">
      <c r="A68" s="271"/>
      <c r="B68" s="272">
        <v>1995</v>
      </c>
      <c r="C68" s="272">
        <v>1996</v>
      </c>
      <c r="D68" s="272">
        <v>1997</v>
      </c>
      <c r="E68" s="272">
        <v>1998</v>
      </c>
      <c r="F68" s="272">
        <v>1999</v>
      </c>
      <c r="G68" s="272" t="s">
        <v>119</v>
      </c>
      <c r="H68" s="272">
        <v>2001</v>
      </c>
      <c r="I68" s="273">
        <v>2002</v>
      </c>
      <c r="J68" s="274">
        <v>2003</v>
      </c>
      <c r="K68" s="273">
        <v>2004</v>
      </c>
      <c r="L68" s="273">
        <v>2005</v>
      </c>
      <c r="M68" s="272">
        <v>2006</v>
      </c>
      <c r="N68" s="272">
        <v>2007</v>
      </c>
      <c r="O68" s="272">
        <v>2008</v>
      </c>
      <c r="P68" s="272">
        <v>2009</v>
      </c>
      <c r="Q68" s="272" t="s">
        <v>120</v>
      </c>
      <c r="R68" s="272">
        <v>2011</v>
      </c>
      <c r="S68" s="273">
        <v>2012</v>
      </c>
      <c r="T68" s="273">
        <v>2013</v>
      </c>
      <c r="U68" s="273">
        <v>2014</v>
      </c>
      <c r="V68" s="273" t="s">
        <v>121</v>
      </c>
      <c r="AME68"/>
      <c r="AMF68"/>
      <c r="AMG68"/>
      <c r="XEY68" s="200"/>
      <c r="XEZ68" s="200"/>
      <c r="XFA68" s="200"/>
    </row>
    <row r="69" spans="1:1021 16379:16381" ht="15">
      <c r="A69" s="232" t="s">
        <v>122</v>
      </c>
      <c r="B69" s="275">
        <v>83.253158216318198</v>
      </c>
      <c r="C69" s="276">
        <v>83.665802520693703</v>
      </c>
      <c r="D69" s="276">
        <v>81.973614399113302</v>
      </c>
      <c r="E69" s="276">
        <v>80.029880746065103</v>
      </c>
      <c r="F69" s="276">
        <v>80.3131920732949</v>
      </c>
      <c r="G69" s="276">
        <v>80.084497886436793</v>
      </c>
      <c r="H69" s="276">
        <v>79.176742244795406</v>
      </c>
      <c r="I69" s="276">
        <v>79.333877363321903</v>
      </c>
      <c r="J69" s="276">
        <v>82.023336036852001</v>
      </c>
      <c r="K69" s="276">
        <v>81.292531294284103</v>
      </c>
      <c r="L69" s="276">
        <v>76.619309268524205</v>
      </c>
      <c r="M69" s="275">
        <v>75.912572356624807</v>
      </c>
      <c r="N69" s="276">
        <v>76.235907766806704</v>
      </c>
      <c r="O69" s="276">
        <v>76.331121311805504</v>
      </c>
      <c r="P69" s="276">
        <v>76.404374623245602</v>
      </c>
      <c r="Q69" s="276">
        <v>76.524461935874001</v>
      </c>
      <c r="R69" s="276">
        <v>76.501911991296495</v>
      </c>
      <c r="S69" s="276">
        <v>76.698060459563493</v>
      </c>
      <c r="T69" s="276">
        <v>76.979813609003102</v>
      </c>
      <c r="U69" s="276">
        <v>77.632826958186598</v>
      </c>
      <c r="V69" s="276">
        <v>78.446233333274606</v>
      </c>
      <c r="AME69"/>
      <c r="AMF69"/>
      <c r="AMG69"/>
      <c r="XEY69" s="200"/>
      <c r="XEZ69" s="200"/>
      <c r="XFA69" s="200"/>
    </row>
    <row r="70" spans="1:1021 16379:16381" ht="15">
      <c r="A70" s="226" t="s">
        <v>123</v>
      </c>
      <c r="B70" s="277">
        <v>45.746973357886098</v>
      </c>
      <c r="C70" s="278">
        <v>45.552434650371701</v>
      </c>
      <c r="D70" s="278">
        <v>43.981018349488799</v>
      </c>
      <c r="E70" s="278">
        <v>40.265823678737199</v>
      </c>
      <c r="F70" s="278">
        <v>39.735088127081902</v>
      </c>
      <c r="G70" s="278">
        <v>41.798019969262</v>
      </c>
      <c r="H70" s="278">
        <v>39.842478631986999</v>
      </c>
      <c r="I70" s="278">
        <v>41.239117170037197</v>
      </c>
      <c r="J70" s="278">
        <v>40.675396052337</v>
      </c>
      <c r="K70" s="278">
        <v>41.351774024717201</v>
      </c>
      <c r="L70" s="278">
        <v>38.539645923881302</v>
      </c>
      <c r="M70" s="277">
        <v>39.209644056419698</v>
      </c>
      <c r="N70" s="278">
        <v>39.7995245841688</v>
      </c>
      <c r="O70" s="278">
        <v>40.359589239342498</v>
      </c>
      <c r="P70" s="278">
        <v>40.681432140607797</v>
      </c>
      <c r="Q70" s="278">
        <v>40.529942269121499</v>
      </c>
      <c r="R70" s="278">
        <v>40.590399642719397</v>
      </c>
      <c r="S70" s="278">
        <v>41.056325936502901</v>
      </c>
      <c r="T70" s="278">
        <v>41.647113757846903</v>
      </c>
      <c r="U70" s="278">
        <v>42.258512892355299</v>
      </c>
      <c r="V70" s="278">
        <v>42.877144292545097</v>
      </c>
      <c r="AME70"/>
      <c r="AMF70"/>
      <c r="AMG70"/>
      <c r="XEY70" s="200"/>
      <c r="XEZ70" s="200"/>
      <c r="XFA70" s="200"/>
    </row>
    <row r="71" spans="1:1021 16379:16381" ht="15">
      <c r="A71" s="226" t="s">
        <v>124</v>
      </c>
      <c r="B71" s="277">
        <v>25.336871921194</v>
      </c>
      <c r="C71" s="278">
        <v>25.921809560932999</v>
      </c>
      <c r="D71" s="278">
        <v>25.459184111149799</v>
      </c>
      <c r="E71" s="278">
        <v>26.525686058117099</v>
      </c>
      <c r="F71" s="278">
        <v>26.723009273596698</v>
      </c>
      <c r="G71" s="278">
        <v>24.861801519251799</v>
      </c>
      <c r="H71" s="278">
        <v>25.694897613335399</v>
      </c>
      <c r="I71" s="278">
        <v>24.646341603625402</v>
      </c>
      <c r="J71" s="278">
        <v>27.2884519261899</v>
      </c>
      <c r="K71" s="278">
        <v>26.328259240630999</v>
      </c>
      <c r="L71" s="278">
        <v>24.350910074171502</v>
      </c>
      <c r="M71" s="277">
        <v>23.2142421359009</v>
      </c>
      <c r="N71" s="278">
        <v>22.816255564382899</v>
      </c>
      <c r="O71" s="278">
        <v>22.464746548368101</v>
      </c>
      <c r="P71" s="278">
        <v>21.937310062432601</v>
      </c>
      <c r="Q71" s="278">
        <v>22.230190998230601</v>
      </c>
      <c r="R71" s="278">
        <v>22.443325572900498</v>
      </c>
      <c r="S71" s="278">
        <v>22.118811864978099</v>
      </c>
      <c r="T71" s="278">
        <v>22.0789694793426</v>
      </c>
      <c r="U71" s="278">
        <v>21.861865599072999</v>
      </c>
      <c r="V71" s="278">
        <v>21.997240646279501</v>
      </c>
      <c r="AME71"/>
      <c r="AMF71"/>
      <c r="AMG71"/>
      <c r="XEY71" s="200"/>
      <c r="XEZ71" s="200"/>
      <c r="XFA71" s="200"/>
    </row>
    <row r="72" spans="1:1021 16379:16381" ht="15">
      <c r="A72" s="229" t="s">
        <v>125</v>
      </c>
      <c r="B72" s="279">
        <v>12.1693129372382</v>
      </c>
      <c r="C72" s="280">
        <v>12.1915583093891</v>
      </c>
      <c r="D72" s="280">
        <v>12.5334119384747</v>
      </c>
      <c r="E72" s="280">
        <v>13.2383710092108</v>
      </c>
      <c r="F72" s="280">
        <v>13.8550946726163</v>
      </c>
      <c r="G72" s="280">
        <v>13.424676397922999</v>
      </c>
      <c r="H72" s="280">
        <v>13.639365999472901</v>
      </c>
      <c r="I72" s="280">
        <v>13.448418589659299</v>
      </c>
      <c r="J72" s="280">
        <v>14.059488058325099</v>
      </c>
      <c r="K72" s="280">
        <v>13.6124980289358</v>
      </c>
      <c r="L72" s="280">
        <v>13.728753270471399</v>
      </c>
      <c r="M72" s="279">
        <v>13.4886861643042</v>
      </c>
      <c r="N72" s="280">
        <v>13.620127618254999</v>
      </c>
      <c r="O72" s="280">
        <v>13.506785524094999</v>
      </c>
      <c r="P72" s="280">
        <v>13.785632420205101</v>
      </c>
      <c r="Q72" s="280">
        <v>13.7643286685218</v>
      </c>
      <c r="R72" s="280">
        <v>13.468186775676701</v>
      </c>
      <c r="S72" s="280">
        <v>13.522922658082599</v>
      </c>
      <c r="T72" s="280">
        <v>13.253730371813701</v>
      </c>
      <c r="U72" s="280">
        <v>13.512448466758199</v>
      </c>
      <c r="V72" s="280">
        <v>13.571848394450001</v>
      </c>
      <c r="AME72"/>
      <c r="AMF72"/>
      <c r="AMG72"/>
      <c r="XEY72" s="200"/>
      <c r="XEZ72" s="200"/>
      <c r="XFA72" s="200"/>
    </row>
    <row r="73" spans="1:1021 16379:16381" ht="15">
      <c r="A73" s="232" t="s">
        <v>126</v>
      </c>
      <c r="B73" s="281">
        <v>61.0691219514487</v>
      </c>
      <c r="C73" s="282">
        <v>61.528434483920599</v>
      </c>
      <c r="D73" s="282">
        <v>59.991701726005999</v>
      </c>
      <c r="E73" s="282">
        <v>55.205936004547098</v>
      </c>
      <c r="F73" s="282">
        <v>57.951504834002101</v>
      </c>
      <c r="G73" s="282">
        <v>56.705100968380997</v>
      </c>
      <c r="H73" s="282">
        <v>52.820876110753197</v>
      </c>
      <c r="I73" s="282">
        <v>52.743761096634501</v>
      </c>
      <c r="J73" s="282">
        <v>56.606019156753398</v>
      </c>
      <c r="K73" s="282">
        <v>58.236182689979699</v>
      </c>
      <c r="L73" s="282">
        <v>54.123582223217298</v>
      </c>
      <c r="M73" s="281">
        <v>53.444138622906799</v>
      </c>
      <c r="N73" s="282">
        <v>54.350622328150401</v>
      </c>
      <c r="O73" s="282">
        <v>54.222917019401301</v>
      </c>
      <c r="P73" s="282">
        <v>55.979056294218701</v>
      </c>
      <c r="Q73" s="282">
        <v>56.328225850261703</v>
      </c>
      <c r="R73" s="282">
        <v>56.694900948538802</v>
      </c>
      <c r="S73" s="282">
        <v>57.500564034118803</v>
      </c>
      <c r="T73" s="282">
        <v>57.8551120832946</v>
      </c>
      <c r="U73" s="282">
        <v>58.450932006593199</v>
      </c>
      <c r="V73" s="282">
        <v>58.838272177577203</v>
      </c>
      <c r="AME73"/>
      <c r="AMF73"/>
      <c r="AMG73"/>
      <c r="XEY73" s="200"/>
      <c r="XEZ73" s="200"/>
      <c r="XFA73" s="200"/>
    </row>
    <row r="74" spans="1:1021 16379:16381" ht="15">
      <c r="A74" s="226" t="s">
        <v>123</v>
      </c>
      <c r="B74" s="277">
        <v>35.548692668044602</v>
      </c>
      <c r="C74" s="278">
        <v>35.536137447203799</v>
      </c>
      <c r="D74" s="278">
        <v>34.498039535014598</v>
      </c>
      <c r="E74" s="278">
        <v>29.278772127171301</v>
      </c>
      <c r="F74" s="278">
        <v>31.706828001151099</v>
      </c>
      <c r="G74" s="278">
        <v>31.8916163337169</v>
      </c>
      <c r="H74" s="278">
        <v>30.101197589514602</v>
      </c>
      <c r="I74" s="278">
        <v>30.184857386889899</v>
      </c>
      <c r="J74" s="278">
        <v>30.673898282055902</v>
      </c>
      <c r="K74" s="278">
        <v>32.714044407592702</v>
      </c>
      <c r="L74" s="278">
        <v>30.306542073073899</v>
      </c>
      <c r="M74" s="277">
        <v>30.831696748889499</v>
      </c>
      <c r="N74" s="278">
        <v>31.7476418365931</v>
      </c>
      <c r="O74" s="278">
        <v>32.081777839114402</v>
      </c>
      <c r="P74" s="278">
        <v>32.741774083443403</v>
      </c>
      <c r="Q74" s="278">
        <v>32.543448252677202</v>
      </c>
      <c r="R74" s="278">
        <v>32.62417914908</v>
      </c>
      <c r="S74" s="278">
        <v>33.187330275844197</v>
      </c>
      <c r="T74" s="278">
        <v>33.966534757385702</v>
      </c>
      <c r="U74" s="278">
        <v>34.741721396088998</v>
      </c>
      <c r="V74" s="278">
        <v>35.1912033407012</v>
      </c>
      <c r="AME74"/>
      <c r="AMF74"/>
      <c r="AMG74"/>
      <c r="XEY74" s="200"/>
      <c r="XEZ74" s="200"/>
      <c r="XFA74" s="200"/>
    </row>
    <row r="75" spans="1:1021 16379:16381" ht="15">
      <c r="A75" s="226" t="s">
        <v>124</v>
      </c>
      <c r="B75" s="277">
        <v>18.4783936737138</v>
      </c>
      <c r="C75" s="278">
        <v>18.772670506893501</v>
      </c>
      <c r="D75" s="278">
        <v>18.5625194055694</v>
      </c>
      <c r="E75" s="278">
        <v>18.776153317584999</v>
      </c>
      <c r="F75" s="278">
        <v>18.7476354217969</v>
      </c>
      <c r="G75" s="278">
        <v>17.371843069368701</v>
      </c>
      <c r="H75" s="278">
        <v>15.9121069007022</v>
      </c>
      <c r="I75" s="278">
        <v>15.8316260495696</v>
      </c>
      <c r="J75" s="278">
        <v>18.303004885617401</v>
      </c>
      <c r="K75" s="278">
        <v>17.984376039775501</v>
      </c>
      <c r="L75" s="278">
        <v>16.3517357791672</v>
      </c>
      <c r="M75" s="277">
        <v>15.184928846754699</v>
      </c>
      <c r="N75" s="278">
        <v>14.880468227846499</v>
      </c>
      <c r="O75" s="278">
        <v>14.6069218090659</v>
      </c>
      <c r="P75" s="278">
        <v>14.8709824970885</v>
      </c>
      <c r="Q75" s="278">
        <v>15.076610860651</v>
      </c>
      <c r="R75" s="278">
        <v>15.4676552540783</v>
      </c>
      <c r="S75" s="278">
        <v>15.3310609481859</v>
      </c>
      <c r="T75" s="278">
        <v>15.320621169891799</v>
      </c>
      <c r="U75" s="278">
        <v>14.9731859586937</v>
      </c>
      <c r="V75" s="278">
        <v>15.0012147809136</v>
      </c>
      <c r="AME75"/>
      <c r="AMF75"/>
      <c r="AMG75"/>
      <c r="XEY75" s="200"/>
      <c r="XEZ75" s="200"/>
      <c r="XFA75" s="200"/>
    </row>
    <row r="76" spans="1:1021 16379:16381" ht="15">
      <c r="A76" s="226" t="s">
        <v>125</v>
      </c>
      <c r="B76" s="277">
        <v>7.0420356096902204</v>
      </c>
      <c r="C76" s="278">
        <v>7.21962652982333</v>
      </c>
      <c r="D76" s="278">
        <v>6.9311427854219296</v>
      </c>
      <c r="E76" s="278">
        <v>7.1510105597907501</v>
      </c>
      <c r="F76" s="278">
        <v>7.49704141105404</v>
      </c>
      <c r="G76" s="278">
        <v>7.4416415652953596</v>
      </c>
      <c r="H76" s="278">
        <v>6.8075716205364101</v>
      </c>
      <c r="I76" s="278">
        <v>6.72727766017496</v>
      </c>
      <c r="J76" s="278">
        <v>7.6291159890800602</v>
      </c>
      <c r="K76" s="278">
        <v>7.5377622426114499</v>
      </c>
      <c r="L76" s="278">
        <v>7.4653043709762601</v>
      </c>
      <c r="M76" s="277">
        <v>7.4275130272626697</v>
      </c>
      <c r="N76" s="278">
        <v>7.7225122637107697</v>
      </c>
      <c r="O76" s="278">
        <v>7.5342173712210396</v>
      </c>
      <c r="P76" s="278">
        <v>8.3662997136867094</v>
      </c>
      <c r="Q76" s="278">
        <v>8.7081667369334799</v>
      </c>
      <c r="R76" s="278">
        <v>8.60306654538042</v>
      </c>
      <c r="S76" s="278">
        <v>8.9821728100886205</v>
      </c>
      <c r="T76" s="278">
        <v>8.5679561560171393</v>
      </c>
      <c r="U76" s="278">
        <v>8.7360246518104905</v>
      </c>
      <c r="V76" s="278">
        <v>8.6458540559624097</v>
      </c>
      <c r="AME76"/>
      <c r="AMF76"/>
      <c r="AMG76"/>
      <c r="XEY76" s="200"/>
      <c r="XEZ76" s="200"/>
      <c r="XFA76" s="200"/>
    </row>
    <row r="77" spans="1:1021 16379:16381" ht="15">
      <c r="A77" s="232" t="s">
        <v>130</v>
      </c>
      <c r="B77" s="281">
        <v>29.1</v>
      </c>
      <c r="C77" s="282">
        <v>28.5026022543327</v>
      </c>
      <c r="D77" s="282">
        <v>27.141877444517899</v>
      </c>
      <c r="E77" s="282">
        <v>24.200087609977</v>
      </c>
      <c r="F77" s="282">
        <v>25.951366849574899</v>
      </c>
      <c r="G77" s="282">
        <v>26.242937624103899</v>
      </c>
      <c r="H77" s="282">
        <v>24.622125496373101</v>
      </c>
      <c r="I77" s="282">
        <v>25.018440723584298</v>
      </c>
      <c r="J77" s="282">
        <v>28.4520174100766</v>
      </c>
      <c r="K77" s="282">
        <v>30.5</v>
      </c>
      <c r="L77" s="278">
        <v>28.535915810342001</v>
      </c>
      <c r="M77" s="281">
        <v>25.764009642256099</v>
      </c>
      <c r="N77" s="282">
        <v>27.036280407066901</v>
      </c>
      <c r="O77" s="282">
        <v>26.609777790805701</v>
      </c>
      <c r="P77" s="282">
        <v>27.511557829357098</v>
      </c>
      <c r="Q77" s="282">
        <v>28.332072383323698</v>
      </c>
      <c r="R77" s="282">
        <v>28.9976137793257</v>
      </c>
      <c r="S77" s="282">
        <v>29.236124677120401</v>
      </c>
      <c r="T77" s="282">
        <v>28.566389784431799</v>
      </c>
      <c r="U77" s="282">
        <v>28.096064848983399</v>
      </c>
      <c r="V77" s="282">
        <v>27.6114081831536</v>
      </c>
      <c r="AME77"/>
      <c r="AMF77"/>
      <c r="AMG77"/>
      <c r="XEY77" s="200"/>
      <c r="XEZ77" s="200"/>
      <c r="XFA77" s="200"/>
    </row>
    <row r="78" spans="1:1021 16379:16381" ht="15">
      <c r="A78" s="226" t="s">
        <v>123</v>
      </c>
      <c r="B78" s="277">
        <v>15</v>
      </c>
      <c r="C78" s="278">
        <v>14.0954829752698</v>
      </c>
      <c r="D78" s="278">
        <v>13.6712941206801</v>
      </c>
      <c r="E78" s="278">
        <v>10.100087609977001</v>
      </c>
      <c r="F78" s="278">
        <v>11.9521544622033</v>
      </c>
      <c r="G78" s="278">
        <v>12.806131434941101</v>
      </c>
      <c r="H78" s="278">
        <v>12.1374236849782</v>
      </c>
      <c r="I78" s="278">
        <v>11.9954524588182</v>
      </c>
      <c r="J78" s="278">
        <v>13.072848091165801</v>
      </c>
      <c r="K78" s="278">
        <v>15.4</v>
      </c>
      <c r="L78" s="278">
        <v>14.3444885676087</v>
      </c>
      <c r="M78" s="277">
        <v>12.853370496694</v>
      </c>
      <c r="N78" s="278">
        <v>13.952020202020201</v>
      </c>
      <c r="O78" s="278">
        <v>13.9289562049615</v>
      </c>
      <c r="P78" s="278">
        <v>13.6025862143873</v>
      </c>
      <c r="Q78" s="278">
        <v>13.804435217269701</v>
      </c>
      <c r="R78" s="278">
        <v>13.800842778657</v>
      </c>
      <c r="S78" s="278">
        <v>13.807001603764499</v>
      </c>
      <c r="T78" s="278">
        <v>13.683404685857001</v>
      </c>
      <c r="U78" s="278">
        <v>13.422281471826301</v>
      </c>
      <c r="V78" s="278">
        <v>13.2465213939814</v>
      </c>
      <c r="AME78"/>
      <c r="AMF78"/>
      <c r="AMG78"/>
      <c r="XEY78" s="200"/>
      <c r="XEZ78" s="200"/>
      <c r="XFA78" s="200"/>
    </row>
    <row r="79" spans="1:1021 16379:16381" ht="15">
      <c r="A79" s="226" t="s">
        <v>124</v>
      </c>
      <c r="B79" s="277">
        <v>9.4</v>
      </c>
      <c r="C79" s="278">
        <v>9.5594073115731995</v>
      </c>
      <c r="D79" s="278">
        <v>8.9541075715192804</v>
      </c>
      <c r="E79" s="278">
        <v>9.3000000000000007</v>
      </c>
      <c r="F79" s="278">
        <v>9.0404329081069292</v>
      </c>
      <c r="G79" s="278">
        <v>8.4616712013339193</v>
      </c>
      <c r="H79" s="278">
        <v>7.94240445534047</v>
      </c>
      <c r="I79" s="278">
        <v>8.3588692720645899</v>
      </c>
      <c r="J79" s="278">
        <v>10.0039357992547</v>
      </c>
      <c r="K79" s="278">
        <v>9.9</v>
      </c>
      <c r="L79" s="278">
        <v>8.9642084983556796</v>
      </c>
      <c r="M79" s="277">
        <v>7.7133965433947598</v>
      </c>
      <c r="N79" s="278">
        <v>7.6697846126685096</v>
      </c>
      <c r="O79" s="278">
        <v>7.4263311221883201</v>
      </c>
      <c r="P79" s="278">
        <v>7.8359380947766297</v>
      </c>
      <c r="Q79" s="278">
        <v>8.0124150277793191</v>
      </c>
      <c r="R79" s="278">
        <v>8.6171019315770305</v>
      </c>
      <c r="S79" s="278">
        <v>8.4388897120671107</v>
      </c>
      <c r="T79" s="278">
        <v>8.2703450357856401</v>
      </c>
      <c r="U79" s="278">
        <v>7.8877778451551404</v>
      </c>
      <c r="V79" s="278">
        <v>7.6912203247392004</v>
      </c>
      <c r="AME79"/>
      <c r="AMF79"/>
      <c r="AMG79"/>
      <c r="XEY79" s="200"/>
      <c r="XEZ79" s="200"/>
      <c r="XFA79" s="200"/>
    </row>
    <row r="80" spans="1:1021 16379:16381" ht="15">
      <c r="A80" s="226" t="s">
        <v>125</v>
      </c>
      <c r="B80" s="277">
        <v>4.7</v>
      </c>
      <c r="C80" s="278">
        <v>4.8477119674897997</v>
      </c>
      <c r="D80" s="278">
        <v>4.5164757523185299</v>
      </c>
      <c r="E80" s="278">
        <v>4.8</v>
      </c>
      <c r="F80" s="278">
        <v>4.95877947926469</v>
      </c>
      <c r="G80" s="278">
        <v>4.9751349878289197</v>
      </c>
      <c r="H80" s="278">
        <v>4.5422973560543696</v>
      </c>
      <c r="I80" s="278">
        <v>4.6641189927015096</v>
      </c>
      <c r="J80" s="278">
        <v>5.3752335196560903</v>
      </c>
      <c r="K80" s="278">
        <v>5.2</v>
      </c>
      <c r="L80" s="278">
        <v>5.2272187443776001</v>
      </c>
      <c r="M80" s="277">
        <v>5.1972426021673304</v>
      </c>
      <c r="N80" s="278">
        <v>5.41447559237821</v>
      </c>
      <c r="O80" s="278">
        <v>5.2544904636559302</v>
      </c>
      <c r="P80" s="278">
        <v>6.0730335201930998</v>
      </c>
      <c r="Q80" s="278">
        <v>6.5152221382746998</v>
      </c>
      <c r="R80" s="278">
        <v>6.5796690690917297</v>
      </c>
      <c r="S80" s="278">
        <v>6.9902333612888397</v>
      </c>
      <c r="T80" s="278">
        <v>6.61264006278914</v>
      </c>
      <c r="U80" s="278">
        <v>6.7860055320019903</v>
      </c>
      <c r="V80" s="278">
        <v>6.6736664644330501</v>
      </c>
      <c r="AME80"/>
      <c r="AMF80"/>
      <c r="AMG80"/>
      <c r="XEY80" s="200"/>
      <c r="XEZ80" s="200"/>
      <c r="XFA80" s="200"/>
    </row>
    <row r="81" spans="1:1021 16379:16381" ht="15">
      <c r="A81" s="232" t="s">
        <v>131</v>
      </c>
      <c r="B81" s="281">
        <v>20.0086285867099</v>
      </c>
      <c r="C81" s="282">
        <v>20.760517566332201</v>
      </c>
      <c r="D81" s="282">
        <v>20.464603185888699</v>
      </c>
      <c r="E81" s="282">
        <v>19.805475650679199</v>
      </c>
      <c r="F81" s="282">
        <v>20.382401850868298</v>
      </c>
      <c r="G81" s="282">
        <v>19.324056399918199</v>
      </c>
      <c r="H81" s="282">
        <v>17.607802256692501</v>
      </c>
      <c r="I81" s="282">
        <v>17.349850411443299</v>
      </c>
      <c r="J81" s="282">
        <v>17.222017941134801</v>
      </c>
      <c r="K81" s="282">
        <v>17.332400561020499</v>
      </c>
      <c r="L81" s="278">
        <v>16.0404279900721</v>
      </c>
      <c r="M81" s="281">
        <v>17.463979430040201</v>
      </c>
      <c r="N81" s="282">
        <v>17.126634635997899</v>
      </c>
      <c r="O81" s="282">
        <v>16.857504167628701</v>
      </c>
      <c r="P81" s="282">
        <v>17.4224787828154</v>
      </c>
      <c r="Q81" s="282">
        <v>18.5750168341132</v>
      </c>
      <c r="R81" s="282">
        <v>18.5950365272423</v>
      </c>
      <c r="S81" s="282">
        <v>18.807321329322001</v>
      </c>
      <c r="T81" s="282">
        <v>19.3679003544285</v>
      </c>
      <c r="U81" s="282">
        <v>20.0979180627826</v>
      </c>
      <c r="V81" s="282">
        <v>20.803181244189901</v>
      </c>
      <c r="AME81"/>
      <c r="AMF81"/>
      <c r="AMG81"/>
      <c r="XEY81" s="200"/>
      <c r="XEZ81" s="200"/>
      <c r="XFA81" s="200"/>
    </row>
    <row r="82" spans="1:1021 16379:16381" ht="15">
      <c r="A82" s="226" t="s">
        <v>123</v>
      </c>
      <c r="B82" s="277">
        <v>10.447535432542701</v>
      </c>
      <c r="C82" s="278">
        <v>11.095890032496399</v>
      </c>
      <c r="D82" s="278">
        <v>10.7745447974974</v>
      </c>
      <c r="E82" s="278">
        <v>10.200326221295301</v>
      </c>
      <c r="F82" s="278">
        <v>10.626741905538999</v>
      </c>
      <c r="G82" s="278">
        <v>10.419156700379199</v>
      </c>
      <c r="H82" s="278">
        <v>9.6629752992303395</v>
      </c>
      <c r="I82" s="278">
        <v>10.0896207403018</v>
      </c>
      <c r="J82" s="278">
        <v>9.2472265083593506</v>
      </c>
      <c r="K82" s="278">
        <v>9.4577139963443901</v>
      </c>
      <c r="L82" s="278">
        <v>8.6910912548157508</v>
      </c>
      <c r="M82" s="277">
        <v>10.0766802234096</v>
      </c>
      <c r="N82" s="278">
        <v>9.8780407066923903</v>
      </c>
      <c r="O82" s="278">
        <v>9.77613057790699</v>
      </c>
      <c r="P82" s="278">
        <v>10.446364438151701</v>
      </c>
      <c r="Q82" s="278">
        <v>11.4965866494615</v>
      </c>
      <c r="R82" s="278">
        <v>11.9283283860662</v>
      </c>
      <c r="S82" s="278">
        <v>12.221031109179499</v>
      </c>
      <c r="T82" s="278">
        <v>12.7767796282508</v>
      </c>
      <c r="U82" s="278">
        <v>13.5041722153885</v>
      </c>
      <c r="V82" s="278">
        <v>13.984155579428799</v>
      </c>
      <c r="AME82"/>
      <c r="AMF82"/>
      <c r="AMG82"/>
      <c r="XEY82" s="200"/>
      <c r="XEZ82" s="200"/>
      <c r="XFA82" s="200"/>
    </row>
    <row r="83" spans="1:1021 16379:16381" ht="15">
      <c r="A83" s="226" t="s">
        <v>124</v>
      </c>
      <c r="B83" s="277">
        <v>7.5595238692126001</v>
      </c>
      <c r="C83" s="278">
        <v>7.6189186429055802</v>
      </c>
      <c r="D83" s="278">
        <v>7.6037606505782103</v>
      </c>
      <c r="E83" s="278">
        <v>7.50798899291991</v>
      </c>
      <c r="F83" s="278">
        <v>7.5819165707294198</v>
      </c>
      <c r="G83" s="278">
        <v>6.8391605774056599</v>
      </c>
      <c r="H83" s="278">
        <v>6.05953721610787</v>
      </c>
      <c r="I83" s="278">
        <v>5.5779727258576797</v>
      </c>
      <c r="J83" s="278">
        <v>6.1802395835377304</v>
      </c>
      <c r="K83" s="278">
        <v>6.0314994823490897</v>
      </c>
      <c r="L83" s="278">
        <v>5.5577713775776196</v>
      </c>
      <c r="M83" s="277">
        <v>5.5957192493366597</v>
      </c>
      <c r="N83" s="278">
        <v>5.3847621029269002</v>
      </c>
      <c r="O83" s="278">
        <v>5.2559783776039799</v>
      </c>
      <c r="P83" s="278">
        <v>5.1603951261872201</v>
      </c>
      <c r="Q83" s="278">
        <v>5.3042146262720102</v>
      </c>
      <c r="R83" s="278">
        <v>5.0768023229772403</v>
      </c>
      <c r="S83" s="278">
        <v>5.0433158361062</v>
      </c>
      <c r="T83" s="278">
        <v>5.0827042129036704</v>
      </c>
      <c r="U83" s="278">
        <v>5.1032970805928599</v>
      </c>
      <c r="V83" s="278">
        <v>5.31532746830481</v>
      </c>
      <c r="AME83"/>
      <c r="AMF83"/>
      <c r="AMG83"/>
      <c r="XEY83" s="200"/>
      <c r="XEZ83" s="200"/>
      <c r="XFA83" s="200"/>
    </row>
    <row r="84" spans="1:1021 16379:16381" ht="15">
      <c r="A84" s="226" t="s">
        <v>125</v>
      </c>
      <c r="B84" s="277">
        <v>2.00156928495463</v>
      </c>
      <c r="C84" s="278">
        <v>2.0457088909303001</v>
      </c>
      <c r="D84" s="278">
        <v>2.08629773781308</v>
      </c>
      <c r="E84" s="278">
        <v>2.09716043646395</v>
      </c>
      <c r="F84" s="278">
        <v>2.1737433745999701</v>
      </c>
      <c r="G84" s="278">
        <v>2.0657391221333699</v>
      </c>
      <c r="H84" s="278">
        <v>1.8852897413542899</v>
      </c>
      <c r="I84" s="278">
        <v>1.68225694528387</v>
      </c>
      <c r="J84" s="278">
        <v>1.79455184923768</v>
      </c>
      <c r="K84" s="278">
        <v>1.84318708232701</v>
      </c>
      <c r="L84" s="278">
        <v>1.7915653576786901</v>
      </c>
      <c r="M84" s="277">
        <v>1.7915799572939</v>
      </c>
      <c r="N84" s="278">
        <v>1.86383182637864</v>
      </c>
      <c r="O84" s="278">
        <v>1.8253952121177499</v>
      </c>
      <c r="P84" s="278">
        <v>1.8157192184764599</v>
      </c>
      <c r="Q84" s="278">
        <v>1.7742155583796499</v>
      </c>
      <c r="R84" s="278">
        <v>1.5899058181989201</v>
      </c>
      <c r="S84" s="278">
        <v>1.5429743840363199</v>
      </c>
      <c r="T84" s="278">
        <v>1.5084165132740199</v>
      </c>
      <c r="U84" s="278">
        <v>1.4904487668011901</v>
      </c>
      <c r="V84" s="278">
        <v>1.50369819645638</v>
      </c>
      <c r="AME84"/>
      <c r="AMF84"/>
      <c r="AMG84"/>
      <c r="XEY84" s="200"/>
      <c r="XEZ84" s="200"/>
      <c r="XFA84" s="200"/>
    </row>
    <row r="85" spans="1:1021 16379:16381" ht="15">
      <c r="A85" s="232" t="s">
        <v>132</v>
      </c>
      <c r="B85" s="281">
        <v>6.8795760365638001</v>
      </c>
      <c r="C85" s="282">
        <v>6.8809419102272198</v>
      </c>
      <c r="D85" s="282">
        <v>6.8688226399335504</v>
      </c>
      <c r="E85" s="282">
        <v>6.1912614689585697</v>
      </c>
      <c r="F85" s="282">
        <v>6.8243188516841302</v>
      </c>
      <c r="G85" s="282">
        <v>6.4070524107704401</v>
      </c>
      <c r="H85" s="282">
        <v>5.7358568735600102</v>
      </c>
      <c r="I85" s="282">
        <v>5.6529580609788503</v>
      </c>
      <c r="J85" s="282">
        <v>5.57792659408753</v>
      </c>
      <c r="K85" s="282">
        <v>5.6547624764742999</v>
      </c>
      <c r="L85" s="282">
        <v>4.9494149325841503</v>
      </c>
      <c r="M85" s="281">
        <v>5.4849404796246199</v>
      </c>
      <c r="N85" s="282">
        <v>5.5379008562529197</v>
      </c>
      <c r="O85" s="282">
        <v>5.8213363898065396</v>
      </c>
      <c r="P85" s="282">
        <v>6.1227451165571196</v>
      </c>
      <c r="Q85" s="282">
        <v>6.1496186378026199</v>
      </c>
      <c r="R85" s="282">
        <v>5.7115080915242196</v>
      </c>
      <c r="S85" s="282">
        <v>5.8026104300549699</v>
      </c>
      <c r="T85" s="282">
        <v>6.1234086614827801</v>
      </c>
      <c r="U85" s="282">
        <v>6.2410642614161098</v>
      </c>
      <c r="V85" s="282">
        <v>6.2315329772924297</v>
      </c>
      <c r="AME85"/>
      <c r="AMF85"/>
      <c r="AMG85"/>
      <c r="XEY85" s="200"/>
      <c r="XEZ85" s="200"/>
      <c r="XFA85" s="200"/>
    </row>
    <row r="86" spans="1:1021 16379:16381" ht="15">
      <c r="A86" s="226" t="s">
        <v>123</v>
      </c>
      <c r="B86" s="277">
        <v>5.3027069611303999</v>
      </c>
      <c r="C86" s="278">
        <v>5.3035163079486596</v>
      </c>
      <c r="D86" s="278">
        <v>5.2908278696067903</v>
      </c>
      <c r="E86" s="278">
        <v>4.4827021498127699</v>
      </c>
      <c r="F86" s="278">
        <v>5.00808816390487</v>
      </c>
      <c r="G86" s="278">
        <v>4.6175591525554998</v>
      </c>
      <c r="H86" s="278">
        <v>4.1524527592746097</v>
      </c>
      <c r="I86" s="278">
        <v>4.0979278865728999</v>
      </c>
      <c r="J86" s="278">
        <v>3.8010316250352001</v>
      </c>
      <c r="K86" s="278">
        <v>3.8907022418568999</v>
      </c>
      <c r="L86" s="278">
        <v>3.3750271420576898</v>
      </c>
      <c r="M86" s="277">
        <v>3.8600169738028298</v>
      </c>
      <c r="N86" s="278">
        <v>3.9356580789165099</v>
      </c>
      <c r="O86" s="278">
        <v>4.2012176106771602</v>
      </c>
      <c r="P86" s="278">
        <v>4.4546497929018001</v>
      </c>
      <c r="Q86" s="278">
        <v>4.4188687601027601</v>
      </c>
      <c r="R86" s="278">
        <v>3.9642597149305301</v>
      </c>
      <c r="S86" s="278">
        <v>3.9875632057211399</v>
      </c>
      <c r="T86" s="278">
        <v>4.2037637478281003</v>
      </c>
      <c r="U86" s="278">
        <v>4.3056115968963198</v>
      </c>
      <c r="V86" s="278">
        <v>4.2784256475032096</v>
      </c>
      <c r="AME86"/>
      <c r="AMF86"/>
      <c r="AMG86"/>
      <c r="XEY86" s="200"/>
      <c r="XEZ86" s="200"/>
      <c r="XFA86" s="200"/>
    </row>
    <row r="87" spans="1:1021 16379:16381" ht="15">
      <c r="A87" s="226" t="s">
        <v>124</v>
      </c>
      <c r="B87" s="277">
        <v>1.2996739461383899</v>
      </c>
      <c r="C87" s="278">
        <v>1.3088690530226501</v>
      </c>
      <c r="D87" s="278">
        <v>1.31434177184319</v>
      </c>
      <c r="E87" s="278">
        <v>1.4225807155352901</v>
      </c>
      <c r="F87" s="278">
        <v>1.50875771608005</v>
      </c>
      <c r="G87" s="278">
        <v>1.45148110825266</v>
      </c>
      <c r="H87" s="278">
        <v>1.2767915243152499</v>
      </c>
      <c r="I87" s="278">
        <v>1.2542344610313001</v>
      </c>
      <c r="J87" s="278">
        <v>1.4244153489205</v>
      </c>
      <c r="K87" s="278">
        <v>1.40927961309341</v>
      </c>
      <c r="L87" s="278">
        <v>1.21691231842326</v>
      </c>
      <c r="M87" s="277">
        <v>1.27613492177799</v>
      </c>
      <c r="N87" s="278">
        <v>1.24725721635834</v>
      </c>
      <c r="O87" s="278">
        <v>1.26749893745172</v>
      </c>
      <c r="P87" s="278">
        <v>1.2794202450082499</v>
      </c>
      <c r="Q87" s="278">
        <v>1.3373498159750901</v>
      </c>
      <c r="R87" s="278">
        <v>1.34129692582733</v>
      </c>
      <c r="S87" s="278">
        <v>1.3958482869987201</v>
      </c>
      <c r="T87" s="278">
        <v>1.50362010543035</v>
      </c>
      <c r="U87" s="278">
        <v>1.5086049480203101</v>
      </c>
      <c r="V87" s="278">
        <v>1.5184075206473899</v>
      </c>
      <c r="AME87"/>
      <c r="AMF87"/>
      <c r="AMG87"/>
      <c r="XEY87" s="200"/>
      <c r="XEZ87" s="200"/>
      <c r="XFA87" s="200"/>
    </row>
    <row r="88" spans="1:1021 16379:16381" ht="15">
      <c r="A88" s="226" t="s">
        <v>125</v>
      </c>
      <c r="B88" s="277">
        <v>0.27719512929501</v>
      </c>
      <c r="C88" s="278">
        <v>0.26855654925591699</v>
      </c>
      <c r="D88" s="278">
        <v>0.26365299848357499</v>
      </c>
      <c r="E88" s="278">
        <v>0.28597860361050897</v>
      </c>
      <c r="F88" s="278">
        <v>0.30747297169921201</v>
      </c>
      <c r="G88" s="278">
        <v>0.33801214996228601</v>
      </c>
      <c r="H88" s="278">
        <v>0.30661258997014301</v>
      </c>
      <c r="I88" s="278">
        <v>0.300795713374652</v>
      </c>
      <c r="J88" s="278">
        <v>0.35247962013182998</v>
      </c>
      <c r="K88" s="278">
        <v>0.35478062152398798</v>
      </c>
      <c r="L88" s="278">
        <v>0.35747547210319502</v>
      </c>
      <c r="M88" s="277">
        <v>0.34878858404379798</v>
      </c>
      <c r="N88" s="278">
        <v>0.35498556097806999</v>
      </c>
      <c r="O88" s="278">
        <v>0.35261984167766303</v>
      </c>
      <c r="P88" s="278">
        <v>0.38867507864706902</v>
      </c>
      <c r="Q88" s="278">
        <v>0.39340006172476299</v>
      </c>
      <c r="R88" s="278">
        <v>0.40595145076636202</v>
      </c>
      <c r="S88" s="278">
        <v>0.41919893733511499</v>
      </c>
      <c r="T88" s="278">
        <v>0.41602480822431898</v>
      </c>
      <c r="U88" s="278">
        <v>0.426847716499483</v>
      </c>
      <c r="V88" s="278">
        <v>0.43469980914183598</v>
      </c>
      <c r="AME88"/>
      <c r="AMF88"/>
      <c r="AMG88"/>
      <c r="XEY88" s="200"/>
      <c r="XEZ88" s="200"/>
      <c r="XFA88" s="200"/>
    </row>
    <row r="89" spans="1:1021 16379:16381" ht="15">
      <c r="A89" s="232" t="s">
        <v>133</v>
      </c>
      <c r="B89" s="281">
        <v>1.19487374655515</v>
      </c>
      <c r="C89" s="282">
        <v>1.1243620339443501</v>
      </c>
      <c r="D89" s="282">
        <v>1.4275784485793801</v>
      </c>
      <c r="E89" s="282">
        <v>1.1401247813348301</v>
      </c>
      <c r="F89" s="282">
        <v>1.1251819504812399</v>
      </c>
      <c r="G89" s="282">
        <v>1.0304528583283401</v>
      </c>
      <c r="H89" s="282">
        <v>1.0071778927396799</v>
      </c>
      <c r="I89" s="282">
        <v>0.96519708456019304</v>
      </c>
      <c r="J89" s="282">
        <v>0.933650696091195</v>
      </c>
      <c r="K89" s="282">
        <v>0.99343978932967503</v>
      </c>
      <c r="L89" s="282">
        <v>1.06654327743815</v>
      </c>
      <c r="M89" s="281">
        <v>1.0799521145653299</v>
      </c>
      <c r="N89" s="282">
        <v>1.05873024880516</v>
      </c>
      <c r="O89" s="282">
        <v>1.1506188525644401</v>
      </c>
      <c r="P89" s="282">
        <v>1.1260732774544</v>
      </c>
      <c r="Q89" s="282">
        <v>1.1218767603422299</v>
      </c>
      <c r="R89" s="282">
        <v>1.09169068665251</v>
      </c>
      <c r="S89" s="282">
        <v>1.0717809330736701</v>
      </c>
      <c r="T89" s="282">
        <v>1.0348190651370499</v>
      </c>
      <c r="U89" s="282">
        <v>1.0091285889121799</v>
      </c>
      <c r="V89" s="282">
        <v>1.01238549140314</v>
      </c>
      <c r="AME89"/>
      <c r="AMF89"/>
      <c r="AMG89"/>
      <c r="XEY89" s="200"/>
      <c r="XEZ89" s="200"/>
      <c r="XFA89" s="200"/>
    </row>
    <row r="90" spans="1:1021 16379:16381" ht="15">
      <c r="A90" s="226" t="s">
        <v>123</v>
      </c>
      <c r="B90" s="277">
        <v>1.06058941971343</v>
      </c>
      <c r="C90" s="278">
        <v>0.98549950620870397</v>
      </c>
      <c r="D90" s="278">
        <v>0.87437964495729603</v>
      </c>
      <c r="E90" s="278">
        <v>0.67595625249209601</v>
      </c>
      <c r="F90" s="278">
        <v>0.66399673134360304</v>
      </c>
      <c r="G90" s="278">
        <v>0.60425295039483695</v>
      </c>
      <c r="H90" s="278">
        <v>0.59994329955647396</v>
      </c>
      <c r="I90" s="278">
        <v>0.56300181257675297</v>
      </c>
      <c r="J90" s="278">
        <v>0.54633177589905002</v>
      </c>
      <c r="K90" s="278">
        <v>0.59297254046565195</v>
      </c>
      <c r="L90" s="278">
        <v>0.65631898392837595</v>
      </c>
      <c r="M90" s="277">
        <v>0.68462925038849298</v>
      </c>
      <c r="N90" s="278">
        <v>0.67135146723161698</v>
      </c>
      <c r="O90" s="278">
        <v>0.72202185109471695</v>
      </c>
      <c r="P90" s="278">
        <v>0.69909297073873</v>
      </c>
      <c r="Q90" s="278">
        <v>0.67391639116328195</v>
      </c>
      <c r="R90" s="278">
        <v>0.63169640563236396</v>
      </c>
      <c r="S90" s="278">
        <v>0.58900769263144603</v>
      </c>
      <c r="T90" s="278">
        <v>0.53999247763529301</v>
      </c>
      <c r="U90" s="278">
        <v>0.50289986747894</v>
      </c>
      <c r="V90" s="278">
        <v>0.50233643824977203</v>
      </c>
      <c r="AME90"/>
      <c r="AMF90"/>
      <c r="AMG90"/>
      <c r="XEY90" s="200"/>
      <c r="XEZ90" s="200"/>
      <c r="XFA90" s="200"/>
    </row>
    <row r="91" spans="1:1021 16379:16381" ht="15">
      <c r="A91" s="226" t="s">
        <v>124</v>
      </c>
      <c r="B91" s="277">
        <v>0.11935094492498</v>
      </c>
      <c r="C91" s="278">
        <v>0.12313181600504799</v>
      </c>
      <c r="D91" s="278">
        <v>0.52781801430603403</v>
      </c>
      <c r="E91" s="278">
        <v>0.44982965839033301</v>
      </c>
      <c r="F91" s="278">
        <v>0.44661114726081602</v>
      </c>
      <c r="G91" s="278">
        <v>0.411720295718564</v>
      </c>
      <c r="H91" s="278">
        <v>0.39198985622172999</v>
      </c>
      <c r="I91" s="278">
        <v>0.38701385945546102</v>
      </c>
      <c r="J91" s="278">
        <v>0.37116630165761</v>
      </c>
      <c r="K91" s="278">
        <v>0.38244919740677502</v>
      </c>
      <c r="L91" s="278">
        <v>0.38978287878699802</v>
      </c>
      <c r="M91" s="277">
        <v>0.37535245797505101</v>
      </c>
      <c r="N91" s="278">
        <v>0.36649264177354102</v>
      </c>
      <c r="O91" s="278">
        <v>0.40493935311541002</v>
      </c>
      <c r="P91" s="278">
        <v>0.40252940951004101</v>
      </c>
      <c r="Q91" s="278">
        <v>0.422631390624573</v>
      </c>
      <c r="R91" s="278">
        <v>0.432454073696726</v>
      </c>
      <c r="S91" s="278">
        <v>0.45300711301388402</v>
      </c>
      <c r="T91" s="278">
        <v>0.46395181577210498</v>
      </c>
      <c r="U91" s="278">
        <v>0.47350608492542701</v>
      </c>
      <c r="V91" s="278">
        <v>0.47625946722222101</v>
      </c>
      <c r="AME91"/>
      <c r="AMF91"/>
      <c r="AMG91"/>
      <c r="XEY91" s="200"/>
      <c r="XEZ91" s="200"/>
      <c r="XFA91" s="200"/>
    </row>
    <row r="92" spans="1:1021 16379:16381" ht="15">
      <c r="A92" s="226" t="s">
        <v>125</v>
      </c>
      <c r="B92" s="277">
        <v>1.4933381916743199E-2</v>
      </c>
      <c r="C92" s="278">
        <v>1.5730711730599999E-2</v>
      </c>
      <c r="D92" s="278">
        <v>2.5380789316048601E-2</v>
      </c>
      <c r="E92" s="278">
        <v>1.43388704524038E-2</v>
      </c>
      <c r="F92" s="278">
        <v>1.45740718768172E-2</v>
      </c>
      <c r="G92" s="278">
        <v>1.44796122149342E-2</v>
      </c>
      <c r="H92" s="278">
        <v>1.52447369614803E-2</v>
      </c>
      <c r="I92" s="278">
        <v>1.51814125279794E-2</v>
      </c>
      <c r="J92" s="278">
        <v>1.6152618534536301E-2</v>
      </c>
      <c r="K92" s="278">
        <v>1.8018051457248E-2</v>
      </c>
      <c r="L92" s="278">
        <v>2.0441414722776802E-2</v>
      </c>
      <c r="M92" s="277">
        <v>1.9970406201786198E-2</v>
      </c>
      <c r="N92" s="278">
        <v>2.08861397999975E-2</v>
      </c>
      <c r="O92" s="278">
        <v>2.3657648354314099E-2</v>
      </c>
      <c r="P92" s="278">
        <v>2.4450897205627799E-2</v>
      </c>
      <c r="Q92" s="278">
        <v>2.5328978554374701E-2</v>
      </c>
      <c r="R92" s="278">
        <v>2.7540207323415999E-2</v>
      </c>
      <c r="S92" s="278">
        <v>2.9766127428343898E-2</v>
      </c>
      <c r="T92" s="278">
        <v>3.0874771729653899E-2</v>
      </c>
      <c r="U92" s="278">
        <v>3.2722636507818197E-2</v>
      </c>
      <c r="V92" s="278">
        <v>3.3789585931143298E-2</v>
      </c>
      <c r="AME92"/>
      <c r="AMF92"/>
      <c r="AMG92"/>
      <c r="XEY92" s="200"/>
      <c r="XEZ92" s="200"/>
      <c r="XFA92" s="200"/>
    </row>
    <row r="93" spans="1:1021 16379:16381" ht="15">
      <c r="A93" s="232" t="s">
        <v>134</v>
      </c>
      <c r="B93" s="281">
        <v>2.3928903907711598</v>
      </c>
      <c r="C93" s="282">
        <v>2.8527648168378201</v>
      </c>
      <c r="D93" s="282">
        <v>2.5609310738876498</v>
      </c>
      <c r="E93" s="282">
        <v>2.3682558139583398</v>
      </c>
      <c r="F93" s="282">
        <v>2.23491918535592</v>
      </c>
      <c r="G93" s="282">
        <v>2.0688349054635702</v>
      </c>
      <c r="H93" s="282">
        <v>2.11049027671107</v>
      </c>
      <c r="I93" s="282">
        <v>1.97086632057212</v>
      </c>
      <c r="J93" s="282">
        <v>1.9652876662154299</v>
      </c>
      <c r="K93" s="282">
        <v>1.5032919350793299</v>
      </c>
      <c r="L93" s="282">
        <v>1.5</v>
      </c>
      <c r="M93" s="281">
        <v>1.4014469098965101</v>
      </c>
      <c r="N93" s="282">
        <v>1.3833717953568101</v>
      </c>
      <c r="O93" s="282">
        <v>1.4053244042162201</v>
      </c>
      <c r="P93" s="282">
        <v>1.55632943786239</v>
      </c>
      <c r="Q93" s="282">
        <v>1.5295408365369301</v>
      </c>
      <c r="R93" s="282">
        <v>1.6291115486229899</v>
      </c>
      <c r="S93" s="282">
        <v>1.7978101851414701</v>
      </c>
      <c r="T93" s="282">
        <v>1.98023257530116</v>
      </c>
      <c r="U93" s="282">
        <v>2.2137830206761802</v>
      </c>
      <c r="V93" s="282">
        <v>2.37536923432679</v>
      </c>
      <c r="AME93"/>
      <c r="AMF93"/>
      <c r="AMG93"/>
      <c r="XEY93" s="200"/>
      <c r="XEZ93" s="200"/>
      <c r="XFA93" s="200"/>
    </row>
    <row r="94" spans="1:1021 16379:16381" ht="15">
      <c r="A94" s="239" t="s">
        <v>135</v>
      </c>
      <c r="B94" s="283">
        <v>0.63234784271874001</v>
      </c>
      <c r="C94" s="284">
        <v>0.62754635395035396</v>
      </c>
      <c r="D94" s="284">
        <v>0.59718738096438995</v>
      </c>
      <c r="E94" s="284">
        <v>0.59986325618875003</v>
      </c>
      <c r="F94" s="284">
        <v>0.55682029430589097</v>
      </c>
      <c r="G94" s="284">
        <v>0.518539415262675</v>
      </c>
      <c r="H94" s="284">
        <v>0.535299958140105</v>
      </c>
      <c r="I94" s="284">
        <v>0.51301149583432404</v>
      </c>
      <c r="J94" s="284">
        <v>0.86264107620080999</v>
      </c>
      <c r="K94" s="284">
        <v>0.74335240834825</v>
      </c>
      <c r="L94" s="284">
        <v>0.8</v>
      </c>
      <c r="M94" s="283">
        <v>0.66622184313574895</v>
      </c>
      <c r="N94" s="284">
        <v>0.66197240822709003</v>
      </c>
      <c r="O94" s="284">
        <v>0.64290403458780898</v>
      </c>
      <c r="P94" s="284">
        <v>0.64914915704268195</v>
      </c>
      <c r="Q94" s="284">
        <v>0.62010039814301698</v>
      </c>
      <c r="R94" s="282">
        <v>0.66994031517094599</v>
      </c>
      <c r="S94" s="282">
        <v>0.78491647940619202</v>
      </c>
      <c r="T94" s="282">
        <v>0.78236164251336604</v>
      </c>
      <c r="U94" s="282">
        <v>0.79297322382274205</v>
      </c>
      <c r="V94" s="282">
        <v>0.80439504721129096</v>
      </c>
      <c r="AME94"/>
      <c r="AMF94"/>
      <c r="AMG94"/>
      <c r="XEY94" s="200"/>
      <c r="XEZ94" s="200"/>
      <c r="XFA94" s="200"/>
    </row>
    <row r="95" spans="1:1021 16379:16381" ht="15">
      <c r="A95" s="232" t="s">
        <v>136</v>
      </c>
      <c r="B95" s="275">
        <v>22.184036264869601</v>
      </c>
      <c r="C95" s="276">
        <v>22.1373680367732</v>
      </c>
      <c r="D95" s="276">
        <v>21.981912673107299</v>
      </c>
      <c r="E95" s="282">
        <v>24.736893189952099</v>
      </c>
      <c r="F95" s="276">
        <v>22.361687239292898</v>
      </c>
      <c r="G95" s="276">
        <v>23.3793969180558</v>
      </c>
      <c r="H95" s="276">
        <v>26.355866134042198</v>
      </c>
      <c r="I95" s="276">
        <v>26.590116266687399</v>
      </c>
      <c r="J95" s="276">
        <v>25.4173168800986</v>
      </c>
      <c r="K95" s="276">
        <v>23.0563486043044</v>
      </c>
      <c r="L95" s="278">
        <v>22.495727045306801</v>
      </c>
      <c r="M95" s="275">
        <v>22.468433733718001</v>
      </c>
      <c r="N95" s="276">
        <v>21.885364254278102</v>
      </c>
      <c r="O95" s="276">
        <v>22.108204292404199</v>
      </c>
      <c r="P95" s="276">
        <v>20.425318329026901</v>
      </c>
      <c r="Q95" s="282">
        <v>20.196236085612298</v>
      </c>
      <c r="R95" s="276">
        <v>19.807011042757701</v>
      </c>
      <c r="S95" s="276">
        <v>19.1974964254448</v>
      </c>
      <c r="T95" s="276">
        <v>19.124701525708499</v>
      </c>
      <c r="U95" s="276">
        <v>19.1818949515933</v>
      </c>
      <c r="V95" s="276">
        <v>19.607961155697399</v>
      </c>
      <c r="AME95"/>
      <c r="AMF95"/>
      <c r="AMG95"/>
      <c r="XEY95" s="200"/>
      <c r="XEZ95" s="200"/>
      <c r="XFA95" s="200"/>
    </row>
    <row r="96" spans="1:1021 16379:16381" ht="15">
      <c r="A96" s="226" t="s">
        <v>146</v>
      </c>
      <c r="B96" s="277">
        <v>10.1982806898415</v>
      </c>
      <c r="C96" s="278">
        <v>10.016297203168</v>
      </c>
      <c r="D96" s="278">
        <v>9.4829788144741602</v>
      </c>
      <c r="E96" s="278">
        <v>10.9</v>
      </c>
      <c r="F96" s="278">
        <v>8.0282601259307604</v>
      </c>
      <c r="G96" s="278">
        <v>9.9064036355450895</v>
      </c>
      <c r="H96" s="278">
        <v>9.7412810424723908</v>
      </c>
      <c r="I96" s="278">
        <v>11.0542597831473</v>
      </c>
      <c r="J96" s="278">
        <v>10.001497770281</v>
      </c>
      <c r="K96" s="278">
        <v>8.6377296171245508</v>
      </c>
      <c r="L96" s="278">
        <v>8.2331038508073906</v>
      </c>
      <c r="M96" s="277">
        <v>8.3779473075301691</v>
      </c>
      <c r="N96" s="278">
        <v>8.0518827475756307</v>
      </c>
      <c r="O96" s="278">
        <v>8.2778114002281296</v>
      </c>
      <c r="P96" s="278">
        <v>7.93965805716436</v>
      </c>
      <c r="Q96" s="278">
        <v>7.9864940164442704</v>
      </c>
      <c r="R96" s="278">
        <v>7.9662204936393497</v>
      </c>
      <c r="S96" s="278">
        <v>7.8689956606586797</v>
      </c>
      <c r="T96" s="278">
        <v>7.6805790004611403</v>
      </c>
      <c r="U96" s="278">
        <v>7.5167914962662801</v>
      </c>
      <c r="V96" s="278">
        <v>7.6859409518438904</v>
      </c>
      <c r="AME96"/>
      <c r="AMF96"/>
      <c r="AMG96"/>
      <c r="XEY96" s="200"/>
      <c r="XEZ96" s="200"/>
      <c r="XFA96" s="200"/>
    </row>
    <row r="97" spans="1:1021 16379:16381" ht="15">
      <c r="A97" s="226" t="s">
        <v>147</v>
      </c>
      <c r="B97" s="277">
        <v>6.85847824748015</v>
      </c>
      <c r="C97" s="278">
        <v>7.1491390540394901</v>
      </c>
      <c r="D97" s="278">
        <v>6.8966647055803696</v>
      </c>
      <c r="E97" s="278">
        <v>7.7495327405321</v>
      </c>
      <c r="F97" s="278">
        <v>7.9753738517997999</v>
      </c>
      <c r="G97" s="278">
        <v>7.4899584498830798</v>
      </c>
      <c r="H97" s="278">
        <v>9.7827907126332505</v>
      </c>
      <c r="I97" s="278">
        <v>8.8147155540557698</v>
      </c>
      <c r="J97" s="278">
        <v>8.9854470405724793</v>
      </c>
      <c r="K97" s="278">
        <v>8.3438832008555099</v>
      </c>
      <c r="L97" s="278">
        <v>7.9991742950043001</v>
      </c>
      <c r="M97" s="277">
        <v>8.02931328914622</v>
      </c>
      <c r="N97" s="278">
        <v>7.9357873365364</v>
      </c>
      <c r="O97" s="278">
        <v>7.8578247393021403</v>
      </c>
      <c r="P97" s="278">
        <v>7.0663275653440998</v>
      </c>
      <c r="Q97" s="278">
        <v>7.1535801375796604</v>
      </c>
      <c r="R97" s="278">
        <v>6.9756703188221403</v>
      </c>
      <c r="S97" s="278">
        <v>6.7877509167921497</v>
      </c>
      <c r="T97" s="278">
        <v>6.7583483094508301</v>
      </c>
      <c r="U97" s="278">
        <v>6.8886796403792996</v>
      </c>
      <c r="V97" s="278">
        <v>6.9960258653658904</v>
      </c>
      <c r="AME97"/>
      <c r="AMF97"/>
      <c r="AMG97"/>
      <c r="XEY97" s="200"/>
      <c r="XEZ97" s="200"/>
      <c r="XFA97" s="200"/>
    </row>
    <row r="98" spans="1:1021 16379:16381" ht="15">
      <c r="A98" s="229" t="s">
        <v>154</v>
      </c>
      <c r="B98" s="279">
        <v>5.1272773275479402</v>
      </c>
      <c r="C98" s="280">
        <v>4.9719317795657396</v>
      </c>
      <c r="D98" s="280">
        <v>5.6022691530528101</v>
      </c>
      <c r="E98" s="280">
        <v>6.0873604494200402</v>
      </c>
      <c r="F98" s="280">
        <v>6.3580532615622998</v>
      </c>
      <c r="G98" s="280">
        <v>5.9830348326276699</v>
      </c>
      <c r="H98" s="280">
        <v>6.8317943789365403</v>
      </c>
      <c r="I98" s="280">
        <v>6.7211409294843198</v>
      </c>
      <c r="J98" s="280">
        <v>6.4303720692450899</v>
      </c>
      <c r="K98" s="280">
        <v>6.0747357863243696</v>
      </c>
      <c r="L98" s="280">
        <v>6.2634488994951401</v>
      </c>
      <c r="M98" s="279">
        <v>6.0611731370415702</v>
      </c>
      <c r="N98" s="280">
        <v>5.8976153545441896</v>
      </c>
      <c r="O98" s="280">
        <v>5.9725681528739099</v>
      </c>
      <c r="P98" s="280">
        <v>5.4193327065184302</v>
      </c>
      <c r="Q98" s="280">
        <v>5.0561619315883304</v>
      </c>
      <c r="R98" s="280">
        <v>4.8651202302962604</v>
      </c>
      <c r="S98" s="280">
        <v>4.5407498479939301</v>
      </c>
      <c r="T98" s="280">
        <v>4.6857742157965099</v>
      </c>
      <c r="U98" s="280">
        <v>4.7764238149477602</v>
      </c>
      <c r="V98" s="280">
        <v>4.9259943384876399</v>
      </c>
      <c r="AME98"/>
      <c r="AMF98"/>
      <c r="AMG98"/>
      <c r="XEY98" s="200"/>
      <c r="XEZ98" s="200"/>
      <c r="XFA98" s="200"/>
    </row>
    <row r="99" spans="1:1021 16379:16381" ht="15">
      <c r="A99" s="232" t="s">
        <v>137</v>
      </c>
      <c r="B99" s="281">
        <v>0.742708147567674</v>
      </c>
      <c r="C99" s="282">
        <v>0.779699548295815</v>
      </c>
      <c r="D99" s="282">
        <v>0.93070155223446005</v>
      </c>
      <c r="E99" s="282">
        <v>1.06676607727339</v>
      </c>
      <c r="F99" s="282">
        <v>0.876495851731661</v>
      </c>
      <c r="G99" s="282">
        <v>1.1132273545338101</v>
      </c>
      <c r="H99" s="282">
        <v>1.2021233565367799</v>
      </c>
      <c r="I99" s="282">
        <v>1.2734369996614301</v>
      </c>
      <c r="J99" s="282">
        <v>1.59247777294709</v>
      </c>
      <c r="K99" s="282">
        <v>1.47787452235761</v>
      </c>
      <c r="L99" s="282">
        <v>1.4916640881176699</v>
      </c>
      <c r="M99" s="275">
        <v>1.5835882033883599</v>
      </c>
      <c r="N99" s="276">
        <v>1.54573197644359</v>
      </c>
      <c r="O99" s="276">
        <v>1.7354513797918401</v>
      </c>
      <c r="P99" s="276">
        <v>1.5907226931296199</v>
      </c>
      <c r="Q99" s="276">
        <v>1.5576265600078301</v>
      </c>
      <c r="R99" s="276">
        <v>1.4576381753235601</v>
      </c>
      <c r="S99" s="276">
        <v>1.4526036962574</v>
      </c>
      <c r="T99" s="276">
        <v>1.51902108401839</v>
      </c>
      <c r="U99" s="276">
        <v>1.5349842988976301</v>
      </c>
      <c r="V99" s="276">
        <v>1.58458933856227</v>
      </c>
      <c r="AME99"/>
      <c r="AMF99"/>
      <c r="AMG99"/>
      <c r="XEY99" s="200"/>
      <c r="XEZ99" s="200"/>
      <c r="XFA99" s="200"/>
    </row>
    <row r="100" spans="1:1021 16379:16381" ht="15">
      <c r="A100" s="226" t="s">
        <v>123</v>
      </c>
      <c r="B100" s="277">
        <v>0.55454067434708898</v>
      </c>
      <c r="C100" s="278">
        <v>0.57543745449211903</v>
      </c>
      <c r="D100" s="278">
        <v>0.72887464742104302</v>
      </c>
      <c r="E100" s="278">
        <v>0.85158082344702102</v>
      </c>
      <c r="F100" s="278">
        <v>0.66410725849860297</v>
      </c>
      <c r="G100" s="278">
        <v>0.85714177472003605</v>
      </c>
      <c r="H100" s="278">
        <v>0.90261231162381705</v>
      </c>
      <c r="I100" s="278">
        <v>0.95497667221388804</v>
      </c>
      <c r="J100" s="278">
        <v>1.17853153918026</v>
      </c>
      <c r="K100" s="278">
        <v>1.0997231644786101</v>
      </c>
      <c r="L100" s="278">
        <v>1.2</v>
      </c>
      <c r="M100" s="277">
        <v>1.28933105156233</v>
      </c>
      <c r="N100" s="278">
        <v>1.26522717814853</v>
      </c>
      <c r="O100" s="278">
        <v>1.4052231556699599</v>
      </c>
      <c r="P100" s="278">
        <v>1.33360207235879</v>
      </c>
      <c r="Q100" s="278">
        <v>1.3190729034661</v>
      </c>
      <c r="R100" s="278">
        <v>1.2145913784956299</v>
      </c>
      <c r="S100" s="278">
        <v>1.2024882402813999</v>
      </c>
      <c r="T100" s="278">
        <v>1.2592738084389501</v>
      </c>
      <c r="U100" s="278">
        <v>1.3107982841915</v>
      </c>
      <c r="V100" s="278">
        <v>1.35562272084032</v>
      </c>
      <c r="AME100"/>
      <c r="AMF100"/>
      <c r="AMG100"/>
      <c r="XEY100" s="200"/>
      <c r="XEZ100" s="200"/>
      <c r="XFA100" s="200"/>
    </row>
    <row r="101" spans="1:1021 16379:16381" ht="15">
      <c r="A101" s="226" t="s">
        <v>124</v>
      </c>
      <c r="B101" s="277">
        <v>0.14678202904311899</v>
      </c>
      <c r="C101" s="278">
        <v>0.16234368338698199</v>
      </c>
      <c r="D101" s="278">
        <v>0.162491397322715</v>
      </c>
      <c r="E101" s="278">
        <v>0.17252737493720599</v>
      </c>
      <c r="F101" s="278">
        <v>0.16991707961971</v>
      </c>
      <c r="G101" s="278">
        <v>0.20780988665792899</v>
      </c>
      <c r="H101" s="278">
        <v>0.24138384871683399</v>
      </c>
      <c r="I101" s="278">
        <v>0.25353573116059502</v>
      </c>
      <c r="J101" s="278">
        <v>0.323247852246907</v>
      </c>
      <c r="K101" s="278">
        <v>0.29287278649870901</v>
      </c>
      <c r="L101" s="278">
        <v>0.22306070602366701</v>
      </c>
      <c r="M101" s="277">
        <v>0.22432567427018199</v>
      </c>
      <c r="N101" s="278">
        <v>0.21217165411922001</v>
      </c>
      <c r="O101" s="278">
        <v>0.25217401870650002</v>
      </c>
      <c r="P101" s="278">
        <v>0.19269962160638601</v>
      </c>
      <c r="Q101" s="278">
        <v>0.18008099449458001</v>
      </c>
      <c r="R101" s="278">
        <v>0.18396641092279301</v>
      </c>
      <c r="S101" s="278">
        <v>0.18914319722175299</v>
      </c>
      <c r="T101" s="278">
        <v>0.200122779785217</v>
      </c>
      <c r="U101" s="278">
        <v>0.17132301407914499</v>
      </c>
      <c r="V101" s="278">
        <v>0.175405614923413</v>
      </c>
      <c r="AME101"/>
      <c r="AMF101"/>
      <c r="AMG101"/>
      <c r="XEY101" s="200"/>
      <c r="XEZ101" s="200"/>
      <c r="XFA101" s="200"/>
    </row>
    <row r="102" spans="1:1021 16379:16381" ht="15">
      <c r="A102" s="229" t="s">
        <v>125</v>
      </c>
      <c r="B102" s="279">
        <v>4.1385444177466701E-2</v>
      </c>
      <c r="C102" s="280">
        <v>4.1918410416714E-2</v>
      </c>
      <c r="D102" s="280">
        <v>3.9335507490701402E-2</v>
      </c>
      <c r="E102" s="280">
        <v>4.2657878889165703E-2</v>
      </c>
      <c r="F102" s="280">
        <v>4.2471513613348499E-2</v>
      </c>
      <c r="G102" s="280">
        <v>4.8275693155846303E-2</v>
      </c>
      <c r="H102" s="280">
        <v>5.8127196196131402E-2</v>
      </c>
      <c r="I102" s="280">
        <v>6.4924596286943401E-2</v>
      </c>
      <c r="J102" s="280">
        <v>9.0698381519926999E-2</v>
      </c>
      <c r="K102" s="280">
        <v>8.5278571380290505E-2</v>
      </c>
      <c r="L102" s="280">
        <v>6.8603382094002199E-2</v>
      </c>
      <c r="M102" s="279">
        <v>6.9931477555847693E-2</v>
      </c>
      <c r="N102" s="280">
        <v>6.8333144175840799E-2</v>
      </c>
      <c r="O102" s="280">
        <v>7.8054205415388198E-2</v>
      </c>
      <c r="P102" s="280">
        <v>6.4420999164451404E-2</v>
      </c>
      <c r="Q102" s="280">
        <v>5.8472662047149203E-2</v>
      </c>
      <c r="R102" s="280">
        <v>5.9080385905133301E-2</v>
      </c>
      <c r="S102" s="280">
        <v>6.09722587542409E-2</v>
      </c>
      <c r="T102" s="280">
        <v>5.9624495794226497E-2</v>
      </c>
      <c r="U102" s="280">
        <v>5.2863000626985901E-2</v>
      </c>
      <c r="V102" s="280">
        <v>5.3561002798533701E-2</v>
      </c>
      <c r="AME102"/>
      <c r="AMF102"/>
      <c r="AMG102"/>
      <c r="XEY102" s="200"/>
      <c r="XEZ102" s="200"/>
      <c r="XFA102" s="200"/>
    </row>
    <row r="103" spans="1:1021 16379:16381" ht="15">
      <c r="A103" s="232" t="s">
        <v>138</v>
      </c>
      <c r="B103" s="281">
        <v>3.1554718903824801</v>
      </c>
      <c r="C103" s="282">
        <v>3.53075995938767</v>
      </c>
      <c r="D103" s="282">
        <v>3.8366514676864698</v>
      </c>
      <c r="E103" s="282">
        <v>3.8711884310280702</v>
      </c>
      <c r="F103" s="282">
        <v>3.8284221432274101</v>
      </c>
      <c r="G103" s="282">
        <v>3.4840010844685301</v>
      </c>
      <c r="H103" s="282">
        <v>3.7067926146919401</v>
      </c>
      <c r="I103" s="282">
        <v>3.8515946601307598</v>
      </c>
      <c r="J103" s="282">
        <v>4.4159108783254801</v>
      </c>
      <c r="K103" s="282">
        <v>4.4573057753657697</v>
      </c>
      <c r="L103" s="282">
        <v>4.3971975924146998</v>
      </c>
      <c r="M103" s="281">
        <v>4.7546043816999397</v>
      </c>
      <c r="N103" s="282">
        <v>4.4303049218779602</v>
      </c>
      <c r="O103" s="282">
        <v>4.1352836463984097</v>
      </c>
      <c r="P103" s="282">
        <v>3.5618743266316</v>
      </c>
      <c r="Q103" s="282">
        <v>3.5946539001178399</v>
      </c>
      <c r="R103" s="276">
        <v>3.7147698724901801</v>
      </c>
      <c r="S103" s="276">
        <v>3.6533196626236699</v>
      </c>
      <c r="T103" s="276">
        <v>3.56772334065323</v>
      </c>
      <c r="U103" s="276">
        <v>3.43245601214254</v>
      </c>
      <c r="V103" s="276">
        <v>3.4509578422151201</v>
      </c>
      <c r="AME103"/>
      <c r="AMF103"/>
      <c r="AMG103"/>
      <c r="XEY103" s="200"/>
      <c r="XEZ103" s="200"/>
      <c r="XFA103" s="200"/>
    </row>
    <row r="104" spans="1:1021 16379:16381" ht="15">
      <c r="A104" s="226" t="s">
        <v>123</v>
      </c>
      <c r="B104" s="277">
        <v>2.3085440952764</v>
      </c>
      <c r="C104" s="278">
        <v>2.5700985477501801</v>
      </c>
      <c r="D104" s="278">
        <v>2.76193156475059</v>
      </c>
      <c r="E104" s="278">
        <v>2.7185580690048599</v>
      </c>
      <c r="F104" s="278">
        <v>2.61016275472607</v>
      </c>
      <c r="G104" s="278">
        <v>2.35234890628533</v>
      </c>
      <c r="H104" s="278">
        <v>2.6140266280837401</v>
      </c>
      <c r="I104" s="278">
        <v>2.5288579879681499</v>
      </c>
      <c r="J104" s="278">
        <v>2.9487693648642899</v>
      </c>
      <c r="K104" s="278">
        <v>2.9766925545446399</v>
      </c>
      <c r="L104" s="278">
        <v>2.9232220195752499</v>
      </c>
      <c r="M104" s="277">
        <v>3.2865604648623399</v>
      </c>
      <c r="N104" s="278">
        <v>3.0017717751800101</v>
      </c>
      <c r="O104" s="278">
        <v>2.8309681031110498</v>
      </c>
      <c r="P104" s="278">
        <v>2.4201438712443801</v>
      </c>
      <c r="Q104" s="278">
        <v>2.3874029933475001</v>
      </c>
      <c r="R104" s="278">
        <v>2.39000349670434</v>
      </c>
      <c r="S104" s="278">
        <v>2.2940413558399499</v>
      </c>
      <c r="T104" s="278">
        <v>2.21254238562191</v>
      </c>
      <c r="U104" s="278">
        <v>2.07953081079049</v>
      </c>
      <c r="V104" s="278">
        <v>2.0958831169458101</v>
      </c>
      <c r="AME104"/>
      <c r="AMF104"/>
      <c r="AMG104"/>
      <c r="XEY104" s="200"/>
      <c r="XEZ104" s="200"/>
      <c r="XFA104" s="200"/>
    </row>
    <row r="105" spans="1:1021 16379:16381" ht="15">
      <c r="A105" s="226" t="s">
        <v>124</v>
      </c>
      <c r="B105" s="277">
        <v>0.69420302422226698</v>
      </c>
      <c r="C105" s="278">
        <v>0.78755267948616203</v>
      </c>
      <c r="D105" s="278">
        <v>0.87501517525073502</v>
      </c>
      <c r="E105" s="278">
        <v>0.95694388635822603</v>
      </c>
      <c r="F105" s="278">
        <v>0.99342776450277703</v>
      </c>
      <c r="G105" s="278">
        <v>0.91613208744222896</v>
      </c>
      <c r="H105" s="278">
        <v>0.88168428025700196</v>
      </c>
      <c r="I105" s="278">
        <v>1.0540295882724899</v>
      </c>
      <c r="J105" s="278">
        <v>1.1696327104603901</v>
      </c>
      <c r="K105" s="278">
        <v>1.15867160728336</v>
      </c>
      <c r="L105" s="278">
        <v>1.1457163666571</v>
      </c>
      <c r="M105" s="277">
        <v>1.13650182167136</v>
      </c>
      <c r="N105" s="278">
        <v>1.0919116256194901</v>
      </c>
      <c r="O105" s="278">
        <v>1.0010571090329801</v>
      </c>
      <c r="P105" s="278">
        <v>0.87390784531712995</v>
      </c>
      <c r="Q105" s="278">
        <v>0.92148680070273703</v>
      </c>
      <c r="R105" s="278">
        <v>1.02248648890452</v>
      </c>
      <c r="S105" s="278">
        <v>1.06021444540775</v>
      </c>
      <c r="T105" s="278">
        <v>1.0555181818317101</v>
      </c>
      <c r="U105" s="278">
        <v>1.07400077103874</v>
      </c>
      <c r="V105" s="278">
        <v>1.0762116725359101</v>
      </c>
      <c r="AME105"/>
      <c r="AMF105"/>
      <c r="AMG105"/>
      <c r="XEY105" s="200"/>
      <c r="XEZ105" s="200"/>
      <c r="XFA105" s="200"/>
    </row>
    <row r="106" spans="1:1021 16379:16381" ht="15">
      <c r="A106" s="229" t="s">
        <v>125</v>
      </c>
      <c r="B106" s="279">
        <v>0.152724770883816</v>
      </c>
      <c r="C106" s="280">
        <v>0.17310873215133299</v>
      </c>
      <c r="D106" s="280">
        <v>0.19970472768514999</v>
      </c>
      <c r="E106" s="280">
        <v>0.19568647566498701</v>
      </c>
      <c r="F106" s="280">
        <v>0.22483162399856299</v>
      </c>
      <c r="G106" s="280">
        <v>0.21552009074096401</v>
      </c>
      <c r="H106" s="280">
        <v>0.21108170635119999</v>
      </c>
      <c r="I106" s="280">
        <v>0.26870708389012299</v>
      </c>
      <c r="J106" s="280">
        <v>0.29750880300080301</v>
      </c>
      <c r="K106" s="280">
        <v>0.32194161353777101</v>
      </c>
      <c r="L106" s="280">
        <v>0.328259206182348</v>
      </c>
      <c r="M106" s="279">
        <v>0.331542095166238</v>
      </c>
      <c r="N106" s="280">
        <v>0.33662152107845</v>
      </c>
      <c r="O106" s="280">
        <v>0.30325843425437998</v>
      </c>
      <c r="P106" s="280">
        <v>0.26782261007008901</v>
      </c>
      <c r="Q106" s="280">
        <v>0.28576410606760599</v>
      </c>
      <c r="R106" s="280">
        <v>0.30227988688131802</v>
      </c>
      <c r="S106" s="280">
        <v>0.29906386137596402</v>
      </c>
      <c r="T106" s="280">
        <v>0.29966277319960999</v>
      </c>
      <c r="U106" s="280">
        <v>0.27892443031330699</v>
      </c>
      <c r="V106" s="280">
        <v>0.27886305273339701</v>
      </c>
      <c r="AME106"/>
      <c r="AMF106"/>
      <c r="AMG106"/>
      <c r="XEY106" s="200"/>
      <c r="XEZ106" s="200"/>
      <c r="XFA106" s="200"/>
    </row>
    <row r="107" spans="1:1021 16379:16381" ht="15">
      <c r="A107" s="232" t="s">
        <v>139</v>
      </c>
      <c r="B107" s="281">
        <v>6.7780084563210901</v>
      </c>
      <c r="C107" s="282">
        <v>7.7822427452238596</v>
      </c>
      <c r="D107" s="282">
        <v>9.5622718856084994</v>
      </c>
      <c r="E107" s="282">
        <v>11.632062957381301</v>
      </c>
      <c r="F107" s="282">
        <v>11.484196061444299</v>
      </c>
      <c r="G107" s="282">
        <v>11.978174641671201</v>
      </c>
      <c r="H107" s="282">
        <v>12.8388277650494</v>
      </c>
      <c r="I107" s="282">
        <v>12.210818168377999</v>
      </c>
      <c r="J107" s="282">
        <v>12.947571908497</v>
      </c>
      <c r="K107" s="282">
        <v>13.8366163173587</v>
      </c>
      <c r="L107" s="278">
        <v>12.7829639112249</v>
      </c>
      <c r="M107" s="281">
        <v>15.1290017688268</v>
      </c>
      <c r="N107" s="282">
        <v>14.9149894702329</v>
      </c>
      <c r="O107" s="282">
        <v>15.323891190639401</v>
      </c>
      <c r="P107" s="282">
        <v>15.8404268549756</v>
      </c>
      <c r="Q107" s="282">
        <v>14.4849015168073</v>
      </c>
      <c r="R107" s="282">
        <v>14.272486834536901</v>
      </c>
      <c r="S107" s="282">
        <v>13.786961042046601</v>
      </c>
      <c r="T107" s="282">
        <v>13.567377128232</v>
      </c>
      <c r="U107" s="282">
        <v>13.028385319263901</v>
      </c>
      <c r="V107" s="282">
        <v>13.1075765931138</v>
      </c>
      <c r="AME107"/>
      <c r="AMF107"/>
      <c r="AMG107"/>
      <c r="XEY107" s="200"/>
      <c r="XEZ107" s="200"/>
      <c r="XFA107" s="200"/>
    </row>
    <row r="108" spans="1:1021 16379:16381" ht="15">
      <c r="A108" s="226" t="s">
        <v>123</v>
      </c>
      <c r="B108" s="277">
        <v>5.1356979710708801</v>
      </c>
      <c r="C108" s="278">
        <v>5.9991100925620602</v>
      </c>
      <c r="D108" s="278">
        <v>7.41756374874124</v>
      </c>
      <c r="E108" s="278">
        <v>9.1776112397055805</v>
      </c>
      <c r="F108" s="278">
        <v>8.8620634097390703</v>
      </c>
      <c r="G108" s="278">
        <v>9.3839150790403405</v>
      </c>
      <c r="H108" s="278">
        <v>10.3264745062441</v>
      </c>
      <c r="I108" s="278">
        <v>9.4731438817620806</v>
      </c>
      <c r="J108" s="278">
        <v>9.8811918215692103</v>
      </c>
      <c r="K108" s="278">
        <v>10.723702825136501</v>
      </c>
      <c r="L108" s="278">
        <v>9.9946552288199495</v>
      </c>
      <c r="M108" s="277">
        <v>12.3703512094053</v>
      </c>
      <c r="N108" s="278">
        <v>12.0948877035019</v>
      </c>
      <c r="O108" s="278">
        <v>12.656709393886</v>
      </c>
      <c r="P108" s="278">
        <v>13.2967005717953</v>
      </c>
      <c r="Q108" s="278">
        <v>11.9507692803786</v>
      </c>
      <c r="R108" s="278">
        <v>11.8278638932807</v>
      </c>
      <c r="S108" s="278">
        <v>11.2711884346164</v>
      </c>
      <c r="T108" s="278">
        <v>10.856692275082301</v>
      </c>
      <c r="U108" s="278">
        <v>9.8384876674144106</v>
      </c>
      <c r="V108" s="278">
        <v>9.90023952940893</v>
      </c>
      <c r="AME108"/>
      <c r="AMF108"/>
      <c r="AMG108"/>
      <c r="XEY108" s="200"/>
      <c r="XEZ108" s="200"/>
      <c r="XFA108" s="200"/>
    </row>
    <row r="109" spans="1:1021 16379:16381" ht="15">
      <c r="A109" s="226" t="s">
        <v>124</v>
      </c>
      <c r="B109" s="277">
        <v>1.3366234449187799</v>
      </c>
      <c r="C109" s="278">
        <v>1.4728483979184499</v>
      </c>
      <c r="D109" s="278">
        <v>1.78813746551687</v>
      </c>
      <c r="E109" s="278">
        <v>2.06575048897112</v>
      </c>
      <c r="F109" s="278">
        <v>2.2097383847449099</v>
      </c>
      <c r="G109" s="278">
        <v>2.1751183154131</v>
      </c>
      <c r="H109" s="278">
        <v>2.09218766426932</v>
      </c>
      <c r="I109" s="278">
        <v>2.2536623096195099</v>
      </c>
      <c r="J109" s="278">
        <v>2.4804119813420402</v>
      </c>
      <c r="K109" s="278">
        <v>2.5170141314257899</v>
      </c>
      <c r="L109" s="278">
        <v>2.2415756242342599</v>
      </c>
      <c r="M109" s="277">
        <v>2.2050328831705399</v>
      </c>
      <c r="N109" s="278">
        <v>2.2420679958133101</v>
      </c>
      <c r="O109" s="278">
        <v>2.1044401176546201</v>
      </c>
      <c r="P109" s="278">
        <v>2.0018889028426701</v>
      </c>
      <c r="Q109" s="278">
        <v>1.99163045882052</v>
      </c>
      <c r="R109" s="278">
        <v>1.92851185410297</v>
      </c>
      <c r="S109" s="278">
        <v>1.9901684569667799</v>
      </c>
      <c r="T109" s="278">
        <v>2.1045065852988598</v>
      </c>
      <c r="U109" s="278">
        <v>2.43084918049516</v>
      </c>
      <c r="V109" s="278">
        <v>2.4544252344055999</v>
      </c>
      <c r="AME109"/>
      <c r="AMF109"/>
      <c r="AMG109"/>
      <c r="XEY109" s="200"/>
      <c r="XEZ109" s="200"/>
      <c r="XFA109" s="200"/>
    </row>
    <row r="110" spans="1:1021 16379:16381" ht="15">
      <c r="A110" s="229" t="s">
        <v>125</v>
      </c>
      <c r="B110" s="279">
        <v>0.30568704033142502</v>
      </c>
      <c r="C110" s="280">
        <v>0.31028425474335097</v>
      </c>
      <c r="D110" s="280">
        <v>0.35657067135039799</v>
      </c>
      <c r="E110" s="280">
        <v>0.38870122870458701</v>
      </c>
      <c r="F110" s="280">
        <v>0.41239426696034798</v>
      </c>
      <c r="G110" s="280">
        <v>0.41914124721778701</v>
      </c>
      <c r="H110" s="280">
        <v>0.42016559453600599</v>
      </c>
      <c r="I110" s="280">
        <v>0.484011976996431</v>
      </c>
      <c r="J110" s="280">
        <v>0.58596810558579004</v>
      </c>
      <c r="K110" s="280">
        <v>0.59589936079640704</v>
      </c>
      <c r="L110" s="280">
        <v>0.54673305817065998</v>
      </c>
      <c r="M110" s="279">
        <v>0.55361767625090896</v>
      </c>
      <c r="N110" s="280">
        <v>0.57803377091766595</v>
      </c>
      <c r="O110" s="280">
        <v>0.56274167909873796</v>
      </c>
      <c r="P110" s="280">
        <v>0.54183738033760598</v>
      </c>
      <c r="Q110" s="280">
        <v>0.54250177760812401</v>
      </c>
      <c r="R110" s="280">
        <v>0.51611108715325904</v>
      </c>
      <c r="S110" s="280">
        <v>0.52560415046341502</v>
      </c>
      <c r="T110" s="280">
        <v>0.60617826785082896</v>
      </c>
      <c r="U110" s="280">
        <v>0.75904847135430797</v>
      </c>
      <c r="V110" s="280">
        <v>0.75291182929931</v>
      </c>
      <c r="AME110"/>
      <c r="AMF110"/>
      <c r="AMG110"/>
      <c r="XEY110" s="200"/>
      <c r="XEZ110" s="200"/>
      <c r="XFA110" s="200"/>
    </row>
    <row r="111" spans="1:1021 16379:16381" ht="15">
      <c r="A111" s="232" t="s">
        <v>140</v>
      </c>
      <c r="B111" s="275">
        <v>6.8133614369781998</v>
      </c>
      <c r="C111" s="276">
        <v>5.0211947746947203</v>
      </c>
      <c r="D111" s="276">
        <v>4.6274622475917297</v>
      </c>
      <c r="E111" s="276">
        <v>4.4668678655255496</v>
      </c>
      <c r="F111" s="276">
        <v>4.3741897220333197</v>
      </c>
      <c r="G111" s="276">
        <v>4.4533263874234601</v>
      </c>
      <c r="H111" s="276">
        <v>4.2776373754632697</v>
      </c>
      <c r="I111" s="276">
        <v>4.6037098081693602</v>
      </c>
      <c r="J111" s="276">
        <v>0.61305455361285</v>
      </c>
      <c r="K111" s="276">
        <v>0.413546612991391</v>
      </c>
      <c r="L111" s="285" t="s">
        <v>141</v>
      </c>
      <c r="M111" s="281" t="s">
        <v>141</v>
      </c>
      <c r="N111" s="282" t="s">
        <v>141</v>
      </c>
      <c r="O111" s="282" t="s">
        <v>141</v>
      </c>
      <c r="P111" s="282" t="s">
        <v>141</v>
      </c>
      <c r="Q111" s="282" t="s">
        <v>141</v>
      </c>
      <c r="R111" s="282" t="s">
        <v>141</v>
      </c>
      <c r="S111" s="282" t="s">
        <v>141</v>
      </c>
      <c r="T111" s="282" t="s">
        <v>141</v>
      </c>
      <c r="U111" s="286">
        <v>0</v>
      </c>
      <c r="V111" s="286">
        <v>0</v>
      </c>
      <c r="AME111"/>
      <c r="AMF111"/>
      <c r="AMG111"/>
      <c r="XEY111" s="200"/>
      <c r="XEZ111" s="200"/>
      <c r="XFA111" s="200"/>
    </row>
    <row r="112" spans="1:1021 16379:16381" ht="15">
      <c r="A112" s="226" t="s">
        <v>142</v>
      </c>
      <c r="B112" s="277">
        <v>4.5503801217291002</v>
      </c>
      <c r="C112" s="278">
        <v>3.9376142563963699</v>
      </c>
      <c r="D112" s="278">
        <v>3.61023874784633</v>
      </c>
      <c r="E112" s="278">
        <v>3.92572410878654</v>
      </c>
      <c r="F112" s="278">
        <v>3.7204642598131201</v>
      </c>
      <c r="G112" s="278">
        <v>3.96977979760136</v>
      </c>
      <c r="H112" s="278">
        <v>3.8197525504124199</v>
      </c>
      <c r="I112" s="278">
        <v>3.8774363216055501</v>
      </c>
      <c r="J112" s="278" t="s">
        <v>141</v>
      </c>
      <c r="K112" s="278" t="s">
        <v>141</v>
      </c>
      <c r="L112" s="287" t="s">
        <v>141</v>
      </c>
      <c r="M112" s="277" t="s">
        <v>141</v>
      </c>
      <c r="N112" s="278" t="s">
        <v>141</v>
      </c>
      <c r="O112" s="278" t="s">
        <v>141</v>
      </c>
      <c r="P112" s="278" t="s">
        <v>141</v>
      </c>
      <c r="Q112" s="278" t="s">
        <v>141</v>
      </c>
      <c r="R112" s="278" t="s">
        <v>141</v>
      </c>
      <c r="S112" s="278" t="s">
        <v>141</v>
      </c>
      <c r="T112" s="278" t="s">
        <v>141</v>
      </c>
      <c r="U112" s="288">
        <v>0</v>
      </c>
      <c r="V112" s="288">
        <v>0</v>
      </c>
      <c r="AME112"/>
      <c r="AMF112"/>
      <c r="AMG112"/>
      <c r="XEY112" s="200"/>
      <c r="XEZ112" s="200"/>
      <c r="XFA112" s="200"/>
    </row>
    <row r="113" spans="1:1021 16379:16381" ht="15">
      <c r="A113" s="226" t="s">
        <v>143</v>
      </c>
      <c r="B113" s="289">
        <v>2.2629813152491001</v>
      </c>
      <c r="C113" s="290">
        <v>1.08358051829835</v>
      </c>
      <c r="D113" s="290">
        <v>1.0172234997454099</v>
      </c>
      <c r="E113" s="290">
        <v>0.54114375673900805</v>
      </c>
      <c r="F113" s="290">
        <v>0.65372546222019901</v>
      </c>
      <c r="G113" s="290">
        <v>0.48354658982210202</v>
      </c>
      <c r="H113" s="290">
        <v>0.45788482505084399</v>
      </c>
      <c r="I113" s="290">
        <v>0.72627348656380497</v>
      </c>
      <c r="J113" s="290">
        <v>0.61305455361285</v>
      </c>
      <c r="K113" s="290">
        <v>0.413546612991391</v>
      </c>
      <c r="L113" s="291" t="s">
        <v>141</v>
      </c>
      <c r="M113" s="277" t="s">
        <v>141</v>
      </c>
      <c r="N113" s="278" t="s">
        <v>141</v>
      </c>
      <c r="O113" s="278" t="s">
        <v>141</v>
      </c>
      <c r="P113" s="278" t="s">
        <v>141</v>
      </c>
      <c r="Q113" s="278" t="s">
        <v>141</v>
      </c>
      <c r="R113" s="278" t="s">
        <v>141</v>
      </c>
      <c r="S113" s="278" t="s">
        <v>141</v>
      </c>
      <c r="T113" s="278" t="s">
        <v>141</v>
      </c>
      <c r="U113" s="288">
        <v>0</v>
      </c>
      <c r="V113" s="288">
        <v>0</v>
      </c>
      <c r="AME113"/>
      <c r="AMF113"/>
      <c r="AMG113"/>
      <c r="XEY113" s="200"/>
      <c r="XEZ113" s="200"/>
      <c r="XFA113" s="200"/>
    </row>
    <row r="114" spans="1:1021 16379:16381" ht="15">
      <c r="A114" s="292" t="s">
        <v>155</v>
      </c>
      <c r="B114" s="277"/>
      <c r="C114" s="282" t="s">
        <v>141</v>
      </c>
      <c r="D114" s="282" t="s">
        <v>141</v>
      </c>
      <c r="E114" s="282" t="s">
        <v>141</v>
      </c>
      <c r="F114" s="282" t="s">
        <v>141</v>
      </c>
      <c r="G114" s="282" t="s">
        <v>141</v>
      </c>
      <c r="H114" s="282" t="s">
        <v>141</v>
      </c>
      <c r="I114" s="282" t="s">
        <v>141</v>
      </c>
      <c r="J114" s="282" t="s">
        <v>141</v>
      </c>
      <c r="K114" s="282" t="s">
        <v>141</v>
      </c>
      <c r="L114" s="282" t="s">
        <v>141</v>
      </c>
      <c r="M114" s="293">
        <v>4.2038214928484496</v>
      </c>
      <c r="N114" s="294">
        <v>4.4187190254606001</v>
      </c>
      <c r="O114" s="294">
        <v>4.2097038511566902</v>
      </c>
      <c r="P114" s="294">
        <v>4.1933241951472198</v>
      </c>
      <c r="Q114" s="294">
        <v>3.83835608719306</v>
      </c>
      <c r="R114" s="294">
        <v>4.0531931263528902</v>
      </c>
      <c r="S114" s="294">
        <v>4.40905513950882</v>
      </c>
      <c r="T114" s="294">
        <v>4.3660648380932203</v>
      </c>
      <c r="U114" s="294">
        <v>4.3713474115093902</v>
      </c>
      <c r="V114" s="294">
        <v>3.4106428928341099</v>
      </c>
      <c r="AME114"/>
      <c r="AMF114"/>
      <c r="AMG114"/>
      <c r="XEY114" s="200"/>
      <c r="XEZ114" s="200"/>
      <c r="XFA114" s="200"/>
    </row>
    <row r="115" spans="1:1021 16379:16381" ht="15">
      <c r="A115" s="295" t="s">
        <v>145</v>
      </c>
      <c r="B115" s="296"/>
      <c r="C115" s="294" t="s">
        <v>141</v>
      </c>
      <c r="D115" s="294" t="s">
        <v>141</v>
      </c>
      <c r="E115" s="294" t="s">
        <v>141</v>
      </c>
      <c r="F115" s="294" t="s">
        <v>141</v>
      </c>
      <c r="G115" s="294" t="s">
        <v>141</v>
      </c>
      <c r="H115" s="294" t="s">
        <v>141</v>
      </c>
      <c r="I115" s="294" t="s">
        <v>141</v>
      </c>
      <c r="J115" s="294" t="s">
        <v>141</v>
      </c>
      <c r="K115" s="294" t="s">
        <v>141</v>
      </c>
      <c r="L115" s="294">
        <v>6.2005292278362498</v>
      </c>
      <c r="M115" s="293" t="s">
        <v>141</v>
      </c>
      <c r="N115" s="294" t="s">
        <v>141</v>
      </c>
      <c r="O115" s="294" t="s">
        <v>141</v>
      </c>
      <c r="P115" s="294" t="s">
        <v>141</v>
      </c>
      <c r="Q115" s="294" t="s">
        <v>141</v>
      </c>
      <c r="R115" s="294" t="s">
        <v>141</v>
      </c>
      <c r="S115" s="294" t="s">
        <v>141</v>
      </c>
      <c r="T115" s="294" t="s">
        <v>141</v>
      </c>
      <c r="U115" s="294"/>
      <c r="V115" s="294"/>
      <c r="AME115"/>
      <c r="AMF115"/>
      <c r="AMG115"/>
      <c r="XEY115" s="200"/>
      <c r="XEZ115" s="200"/>
      <c r="XFA115" s="200"/>
    </row>
    <row r="116" spans="1:1021 16379:16381" ht="15">
      <c r="A116" s="297" t="s">
        <v>3</v>
      </c>
      <c r="B116" s="298">
        <v>100</v>
      </c>
      <c r="C116" s="299">
        <v>100</v>
      </c>
      <c r="D116" s="299">
        <v>100</v>
      </c>
      <c r="E116" s="299">
        <v>100.012948448434</v>
      </c>
      <c r="F116" s="299">
        <v>100</v>
      </c>
      <c r="G116" s="299">
        <v>100</v>
      </c>
      <c r="H116" s="299">
        <v>100</v>
      </c>
      <c r="I116" s="299">
        <v>100</v>
      </c>
      <c r="J116" s="299">
        <v>99.9998733772874</v>
      </c>
      <c r="K116" s="299">
        <v>100</v>
      </c>
      <c r="L116" s="300">
        <v>100</v>
      </c>
      <c r="M116" s="299">
        <v>100</v>
      </c>
      <c r="N116" s="299">
        <v>100</v>
      </c>
      <c r="O116" s="299">
        <v>100</v>
      </c>
      <c r="P116" s="299">
        <v>100</v>
      </c>
      <c r="Q116" s="300">
        <v>100</v>
      </c>
      <c r="R116" s="298">
        <v>100</v>
      </c>
      <c r="S116" s="300">
        <v>100</v>
      </c>
      <c r="T116" s="300">
        <v>100</v>
      </c>
      <c r="U116" s="300">
        <v>100</v>
      </c>
      <c r="V116" s="300">
        <v>100</v>
      </c>
      <c r="AME116"/>
      <c r="AMF116"/>
      <c r="AMG116"/>
      <c r="XEY116" s="200"/>
      <c r="XEZ116" s="200"/>
      <c r="XFA116" s="200"/>
    </row>
    <row r="117" spans="1:1021 16379:16381" ht="15">
      <c r="A117" s="301" t="s">
        <v>146</v>
      </c>
      <c r="B117" s="281">
        <v>60.004576861211604</v>
      </c>
      <c r="C117" s="282">
        <v>59.142838065378697</v>
      </c>
      <c r="D117" s="282">
        <v>58.7879759105723</v>
      </c>
      <c r="E117" s="282">
        <v>56.628860852973197</v>
      </c>
      <c r="F117" s="282">
        <v>55.5815040135803</v>
      </c>
      <c r="G117" s="282">
        <v>57.987610342011102</v>
      </c>
      <c r="H117" s="282">
        <v>57.060617141778103</v>
      </c>
      <c r="I117" s="282">
        <v>57.844828847936803</v>
      </c>
      <c r="J117" s="282">
        <v>54.118411792383299</v>
      </c>
      <c r="K117" s="282">
        <v>55.465716017389802</v>
      </c>
      <c r="L117" s="282">
        <v>57.658052400112702</v>
      </c>
      <c r="M117" s="275">
        <v>59.0703772235358</v>
      </c>
      <c r="N117" s="282">
        <v>59.314903088311297</v>
      </c>
      <c r="O117" s="282">
        <v>60.056970587496302</v>
      </c>
      <c r="P117" s="282">
        <v>60.591600778794799</v>
      </c>
      <c r="Q117" s="282">
        <v>60.025543533506799</v>
      </c>
      <c r="R117" s="282">
        <v>60.0760515375529</v>
      </c>
      <c r="S117" s="282">
        <v>60.233099106749499</v>
      </c>
      <c r="T117" s="282">
        <v>60.341687065083299</v>
      </c>
      <c r="U117" s="282">
        <v>59.858677066261102</v>
      </c>
      <c r="V117" s="282">
        <v>59.639532552574302</v>
      </c>
      <c r="AME117"/>
      <c r="AMF117"/>
      <c r="AMG117"/>
      <c r="XEY117" s="200"/>
      <c r="XEZ117" s="200"/>
      <c r="XFA117" s="200"/>
    </row>
    <row r="118" spans="1:1021 16379:16381" ht="15">
      <c r="A118" s="302" t="s">
        <v>147</v>
      </c>
      <c r="B118" s="281">
        <v>27.367698390335001</v>
      </c>
      <c r="C118" s="282">
        <v>28.182210638337601</v>
      </c>
      <c r="D118" s="282">
        <v>28.122336751917398</v>
      </c>
      <c r="E118" s="282">
        <v>29.5483804334464</v>
      </c>
      <c r="F118" s="282">
        <v>29.926175422844398</v>
      </c>
      <c r="G118" s="282">
        <v>27.9530519221071</v>
      </c>
      <c r="H118" s="282">
        <v>28.668769557861701</v>
      </c>
      <c r="I118" s="282">
        <v>27.954033501517401</v>
      </c>
      <c r="J118" s="282">
        <v>30.9384966179923</v>
      </c>
      <c r="K118" s="282">
        <v>30.003944979340201</v>
      </c>
      <c r="L118" s="282">
        <v>27.7382020650629</v>
      </c>
      <c r="M118" s="281">
        <v>26.555776840742801</v>
      </c>
      <c r="N118" s="282">
        <v>26.150235185815699</v>
      </c>
      <c r="O118" s="282">
        <v>25.570243775055701</v>
      </c>
      <c r="P118" s="282">
        <v>24.813106810592402</v>
      </c>
      <c r="Q118" s="282">
        <v>25.3233892522485</v>
      </c>
      <c r="R118" s="282">
        <v>25.5782903268307</v>
      </c>
      <c r="S118" s="282">
        <v>25.3583379645743</v>
      </c>
      <c r="T118" s="282">
        <v>25.439117026258401</v>
      </c>
      <c r="U118" s="282">
        <v>25.538038564686101</v>
      </c>
      <c r="V118" s="282">
        <v>25.703283168144399</v>
      </c>
      <c r="AME118"/>
      <c r="AMF118"/>
      <c r="AMG118"/>
      <c r="XEY118" s="200"/>
      <c r="XEZ118" s="200"/>
      <c r="XFA118" s="200"/>
    </row>
    <row r="119" spans="1:1021 16379:16381" ht="15">
      <c r="A119" s="303" t="s">
        <v>148</v>
      </c>
      <c r="B119" s="283">
        <v>12.627724748453399</v>
      </c>
      <c r="C119" s="284">
        <v>12.674951296283799</v>
      </c>
      <c r="D119" s="284">
        <v>13.0896873375103</v>
      </c>
      <c r="E119" s="284">
        <v>13.8227587135804</v>
      </c>
      <c r="F119" s="284">
        <v>14.4923205635753</v>
      </c>
      <c r="G119" s="284">
        <v>14.059337735881799</v>
      </c>
      <c r="H119" s="284">
        <v>14.2706133003602</v>
      </c>
      <c r="I119" s="284">
        <v>14.2011376505458</v>
      </c>
      <c r="J119" s="284">
        <v>14.942964966911701</v>
      </c>
      <c r="K119" s="284">
        <v>14.530339003270001</v>
      </c>
      <c r="L119" s="284">
        <v>14.6037455348244</v>
      </c>
      <c r="M119" s="283">
        <v>14.3738459357214</v>
      </c>
      <c r="N119" s="284">
        <v>14.534782910251099</v>
      </c>
      <c r="O119" s="284">
        <v>14.3727856374481</v>
      </c>
      <c r="P119" s="282">
        <v>14.595292410612799</v>
      </c>
      <c r="Q119" s="282">
        <v>14.6510672142447</v>
      </c>
      <c r="R119" s="282">
        <v>14.3456581356164</v>
      </c>
      <c r="S119" s="282">
        <v>14.408562928676201</v>
      </c>
      <c r="T119" s="282">
        <v>14.2191959086583</v>
      </c>
      <c r="U119" s="282">
        <v>14.603284369052901</v>
      </c>
      <c r="V119" s="282">
        <v>14.657184279281299</v>
      </c>
      <c r="AME119"/>
      <c r="AMF119"/>
      <c r="AMG119"/>
      <c r="XEY119" s="200"/>
      <c r="XEZ119" s="200"/>
      <c r="XFA119" s="200"/>
    </row>
    <row r="120" spans="1:1021 16379:16381" ht="15">
      <c r="A120" s="304" t="s">
        <v>156</v>
      </c>
      <c r="B120" s="298">
        <v>100</v>
      </c>
      <c r="C120" s="299">
        <v>100</v>
      </c>
      <c r="D120" s="299">
        <v>100</v>
      </c>
      <c r="E120" s="299">
        <v>99.987053227971998</v>
      </c>
      <c r="F120" s="299">
        <v>100</v>
      </c>
      <c r="G120" s="299">
        <v>100</v>
      </c>
      <c r="H120" s="299">
        <v>100</v>
      </c>
      <c r="I120" s="299">
        <v>100</v>
      </c>
      <c r="J120" s="299">
        <v>100</v>
      </c>
      <c r="K120" s="299">
        <v>100</v>
      </c>
      <c r="L120" s="300">
        <v>100</v>
      </c>
      <c r="M120" s="218">
        <v>100</v>
      </c>
      <c r="N120" s="299">
        <v>99.999921184378096</v>
      </c>
      <c r="O120" s="299">
        <v>100</v>
      </c>
      <c r="P120" s="299">
        <v>100</v>
      </c>
      <c r="Q120" s="218">
        <v>100</v>
      </c>
      <c r="R120" s="298">
        <v>100</v>
      </c>
      <c r="S120" s="300">
        <v>100</v>
      </c>
      <c r="T120" s="300">
        <v>100</v>
      </c>
      <c r="U120" s="300">
        <v>100</v>
      </c>
      <c r="V120" s="300">
        <v>100</v>
      </c>
      <c r="AME120"/>
      <c r="AMF120"/>
      <c r="AMG120"/>
      <c r="XEY120" s="200"/>
      <c r="XEZ120" s="200"/>
      <c r="XFA120" s="200"/>
    </row>
    <row r="121" spans="1:1021 16379:16381" ht="15">
      <c r="A121" s="302" t="s">
        <v>146</v>
      </c>
      <c r="B121" s="275">
        <v>60.004576861211604</v>
      </c>
      <c r="C121" s="276">
        <v>59.142838065378697</v>
      </c>
      <c r="D121" s="276">
        <v>58.7879759105723</v>
      </c>
      <c r="E121" s="276">
        <v>56.6215292434565</v>
      </c>
      <c r="F121" s="276">
        <v>55.5815040135803</v>
      </c>
      <c r="G121" s="276">
        <v>57.987610342011102</v>
      </c>
      <c r="H121" s="276">
        <v>57.060617141778103</v>
      </c>
      <c r="I121" s="276">
        <v>57.844828847936803</v>
      </c>
      <c r="J121" s="276">
        <v>54.118480318671097</v>
      </c>
      <c r="K121" s="276">
        <v>55.465716017389802</v>
      </c>
      <c r="L121" s="276">
        <v>57.658052400112702</v>
      </c>
      <c r="M121" s="275">
        <v>59.0703772235358</v>
      </c>
      <c r="N121" s="276">
        <v>59.314903088311297</v>
      </c>
      <c r="O121" s="276">
        <v>60.056970587496302</v>
      </c>
      <c r="P121" s="276">
        <v>60.591600778794799</v>
      </c>
      <c r="Q121" s="282">
        <v>60.025543533506799</v>
      </c>
      <c r="R121" s="282">
        <v>60.0760515375529</v>
      </c>
      <c r="S121" s="282">
        <v>60.233099106749499</v>
      </c>
      <c r="T121" s="282">
        <v>60.341687065083299</v>
      </c>
      <c r="U121" s="282">
        <v>59.858677066261102</v>
      </c>
      <c r="V121" s="282">
        <v>59.639532552574302</v>
      </c>
      <c r="AME121"/>
      <c r="AMF121"/>
      <c r="AMG121"/>
      <c r="XEY121" s="200"/>
      <c r="XEZ121" s="200"/>
      <c r="XFA121" s="200"/>
    </row>
    <row r="122" spans="1:1021 16379:16381" ht="15">
      <c r="A122" s="303" t="s">
        <v>150</v>
      </c>
      <c r="B122" s="283">
        <v>39.995423138788396</v>
      </c>
      <c r="C122" s="284">
        <v>40.857161934621303</v>
      </c>
      <c r="D122" s="284">
        <v>41.2120240894277</v>
      </c>
      <c r="E122" s="284">
        <v>43.365523984515498</v>
      </c>
      <c r="F122" s="284">
        <v>44.4184959864197</v>
      </c>
      <c r="G122" s="284">
        <v>42.012389657988898</v>
      </c>
      <c r="H122" s="284">
        <v>42.939382858221897</v>
      </c>
      <c r="I122" s="284">
        <v>42.155171152063197</v>
      </c>
      <c r="J122" s="284">
        <v>45.881519681328903</v>
      </c>
      <c r="K122" s="284">
        <v>44.534283982610198</v>
      </c>
      <c r="L122" s="284">
        <v>42.341947599887298</v>
      </c>
      <c r="M122" s="283">
        <v>40.9296227764642</v>
      </c>
      <c r="N122" s="284">
        <v>40.685018096066798</v>
      </c>
      <c r="O122" s="284">
        <v>39.943029412503698</v>
      </c>
      <c r="P122" s="284">
        <v>39.4083992212053</v>
      </c>
      <c r="Q122" s="284">
        <v>39.974456466493201</v>
      </c>
      <c r="R122" s="284">
        <v>39.9239484624471</v>
      </c>
      <c r="S122" s="284">
        <v>39.766900893250501</v>
      </c>
      <c r="T122" s="284">
        <v>39.658312934916701</v>
      </c>
      <c r="U122" s="284">
        <v>40.141322933738898</v>
      </c>
      <c r="V122" s="284">
        <v>40.360467447425698</v>
      </c>
      <c r="AME122"/>
      <c r="AMF122"/>
      <c r="AMG122"/>
      <c r="XEY122" s="200"/>
      <c r="XEZ122" s="200"/>
      <c r="XFA122" s="200"/>
    </row>
  </sheetData>
  <mergeCells count="4">
    <mergeCell ref="B4:L4"/>
    <mergeCell ref="M4:V4"/>
    <mergeCell ref="B66:M66"/>
    <mergeCell ref="N66:V66"/>
  </mergeCells>
  <pageMargins left="0.511811024" right="0.511811024" top="0.78740157499999996" bottom="0.78740157499999996" header="0.31496062000000002" footer="0.3149606200000000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5" tint="0.79998168889431442"/>
  </sheetPr>
  <dimension ref="B2:FI51"/>
  <sheetViews>
    <sheetView showGridLines="0" workbookViewId="0">
      <selection activeCell="M15" sqref="M15:M16"/>
    </sheetView>
  </sheetViews>
  <sheetFormatPr defaultRowHeight="15"/>
  <sheetData>
    <row r="2" spans="2:165">
      <c r="B2" s="723">
        <v>37591</v>
      </c>
      <c r="C2" s="719"/>
      <c r="D2" s="719"/>
      <c r="E2" s="719"/>
      <c r="F2" s="719"/>
      <c r="G2" s="719"/>
      <c r="H2" s="719"/>
      <c r="I2" s="719"/>
      <c r="J2" s="719"/>
      <c r="K2" s="719"/>
      <c r="L2" s="719"/>
      <c r="M2" s="719"/>
      <c r="N2" s="719"/>
      <c r="O2" s="724">
        <v>37956</v>
      </c>
      <c r="P2" s="724"/>
      <c r="Q2" s="724"/>
      <c r="R2" s="724"/>
      <c r="S2" s="724"/>
      <c r="T2" s="724"/>
      <c r="U2" s="724"/>
      <c r="V2" s="724"/>
      <c r="W2" s="724"/>
      <c r="X2" s="724"/>
      <c r="Y2" s="724"/>
      <c r="Z2" s="724"/>
      <c r="AA2" s="723">
        <v>38322</v>
      </c>
      <c r="AB2" s="723"/>
      <c r="AC2" s="723"/>
      <c r="AD2" s="723"/>
      <c r="AE2" s="723"/>
      <c r="AF2" s="723"/>
      <c r="AG2" s="723"/>
      <c r="AH2" s="723"/>
      <c r="AI2" s="723"/>
      <c r="AJ2" s="723"/>
      <c r="AK2" s="723"/>
      <c r="AL2" s="724">
        <v>38687</v>
      </c>
      <c r="AM2" s="724"/>
      <c r="AN2" s="724"/>
      <c r="AO2" s="724"/>
      <c r="AP2" s="724"/>
      <c r="AQ2" s="724"/>
      <c r="AR2" s="724"/>
      <c r="AS2" s="724"/>
      <c r="AT2" s="724"/>
      <c r="AU2" s="724"/>
      <c r="AV2" s="724"/>
      <c r="AW2" s="724"/>
      <c r="AX2" s="305"/>
      <c r="AY2" s="723">
        <v>39052</v>
      </c>
      <c r="AZ2" s="723"/>
      <c r="BA2" s="723"/>
      <c r="BB2" s="723"/>
      <c r="BC2" s="723"/>
      <c r="BD2" s="723"/>
      <c r="BE2" s="723"/>
      <c r="BF2" s="723"/>
      <c r="BG2" s="723"/>
      <c r="BH2" s="723"/>
      <c r="BI2" s="723"/>
      <c r="BJ2" s="723"/>
      <c r="BK2" s="724">
        <v>39417</v>
      </c>
      <c r="BL2" s="724"/>
      <c r="BM2" s="724"/>
      <c r="BN2" s="724"/>
      <c r="BO2" s="724"/>
      <c r="BP2" s="724"/>
      <c r="BQ2" s="724"/>
      <c r="BR2" s="724"/>
      <c r="BS2" s="724"/>
      <c r="BT2" s="724"/>
      <c r="BU2" s="724"/>
      <c r="BV2" s="724"/>
      <c r="BW2" s="723">
        <v>39783</v>
      </c>
      <c r="BX2" s="723"/>
      <c r="BY2" s="723"/>
      <c r="BZ2" s="723"/>
      <c r="CA2" s="723"/>
      <c r="CB2" s="723"/>
      <c r="CC2" s="723"/>
      <c r="CD2" s="723"/>
      <c r="CE2" s="723"/>
      <c r="CF2" s="723"/>
      <c r="CG2" s="723"/>
      <c r="CH2" s="306"/>
      <c r="CI2" s="724">
        <v>40148</v>
      </c>
      <c r="CJ2" s="724"/>
      <c r="CK2" s="724"/>
      <c r="CL2" s="724"/>
      <c r="CM2" s="724"/>
      <c r="CN2" s="724"/>
      <c r="CO2" s="724"/>
      <c r="CP2" s="724"/>
      <c r="CQ2" s="724"/>
      <c r="CR2" s="724"/>
      <c r="CS2" s="723">
        <v>40513</v>
      </c>
      <c r="CT2" s="723"/>
      <c r="CU2" s="723"/>
      <c r="CV2" s="723"/>
      <c r="CW2" s="723"/>
      <c r="CX2" s="723"/>
      <c r="CY2" s="723"/>
      <c r="CZ2" s="723"/>
      <c r="DA2" s="723"/>
      <c r="DB2" s="723"/>
      <c r="DC2" s="724">
        <v>40878</v>
      </c>
      <c r="DD2" s="724"/>
      <c r="DE2" s="724"/>
      <c r="DF2" s="724"/>
      <c r="DG2" s="724"/>
      <c r="DH2" s="724"/>
      <c r="DI2" s="724"/>
      <c r="DJ2" s="724"/>
      <c r="DK2" s="724"/>
      <c r="DL2" s="724"/>
      <c r="DM2" s="723">
        <v>41244</v>
      </c>
      <c r="DN2" s="723"/>
      <c r="DO2" s="723"/>
      <c r="DP2" s="723"/>
      <c r="DQ2" s="723"/>
      <c r="DR2" s="723"/>
      <c r="DS2" s="723"/>
      <c r="DT2" s="723"/>
      <c r="DU2" s="723"/>
      <c r="DV2" s="723"/>
      <c r="DW2" s="724">
        <v>41609</v>
      </c>
      <c r="DX2" s="724"/>
      <c r="DY2" s="724"/>
      <c r="DZ2" s="724"/>
      <c r="EA2" s="724"/>
      <c r="EB2" s="724"/>
      <c r="EC2" s="724"/>
      <c r="ED2" s="724"/>
      <c r="EE2" s="724"/>
      <c r="EF2" s="724"/>
      <c r="EG2" s="723">
        <v>41974</v>
      </c>
      <c r="EH2" s="723"/>
      <c r="EI2" s="723"/>
      <c r="EJ2" s="723"/>
      <c r="EK2" s="723"/>
      <c r="EL2" s="723"/>
      <c r="EM2" s="723"/>
      <c r="EN2" s="723"/>
      <c r="EO2" s="723"/>
      <c r="EP2" s="723"/>
      <c r="EQ2" s="723"/>
      <c r="ER2" s="723"/>
      <c r="ES2" s="723"/>
      <c r="ET2" s="724">
        <v>42278</v>
      </c>
      <c r="EU2" s="724"/>
      <c r="EV2" s="724"/>
      <c r="EW2" s="724"/>
      <c r="EX2" s="724"/>
      <c r="EY2" s="724"/>
      <c r="EZ2" s="724"/>
      <c r="FA2" s="724"/>
      <c r="FB2" s="724"/>
      <c r="FC2" s="724"/>
      <c r="FD2" s="724"/>
      <c r="FE2" s="724"/>
      <c r="FF2" s="724"/>
      <c r="FG2" s="724"/>
      <c r="FH2" s="724"/>
      <c r="FI2" s="724"/>
    </row>
    <row r="3" spans="2:165" ht="15.75">
      <c r="B3" s="307" t="s">
        <v>158</v>
      </c>
      <c r="C3" s="306"/>
      <c r="D3" s="306"/>
      <c r="E3" s="306"/>
      <c r="F3" s="306"/>
      <c r="G3" s="306"/>
      <c r="H3" s="306"/>
      <c r="I3" s="306"/>
      <c r="J3" s="306"/>
      <c r="K3" s="306"/>
      <c r="L3" s="306"/>
      <c r="M3" s="306"/>
      <c r="N3" s="306"/>
      <c r="O3" s="308" t="s">
        <v>158</v>
      </c>
      <c r="P3" s="309"/>
      <c r="Q3" s="309"/>
      <c r="R3" s="309"/>
      <c r="S3" s="309"/>
      <c r="T3" s="309"/>
      <c r="U3" s="309"/>
      <c r="V3" s="309"/>
      <c r="W3" s="309"/>
      <c r="X3" s="309"/>
      <c r="Y3" s="309"/>
      <c r="Z3" s="309"/>
      <c r="AA3" s="307" t="s">
        <v>158</v>
      </c>
      <c r="AB3" s="306"/>
      <c r="AC3" s="306"/>
      <c r="AD3" s="306"/>
      <c r="AE3" s="306"/>
      <c r="AF3" s="306"/>
      <c r="AG3" s="306"/>
      <c r="AH3" s="306"/>
      <c r="AI3" s="306"/>
      <c r="AJ3" s="306"/>
      <c r="AK3" s="306"/>
      <c r="AL3" s="308" t="s">
        <v>158</v>
      </c>
      <c r="AM3" s="309"/>
      <c r="AN3" s="309"/>
      <c r="AO3" s="309"/>
      <c r="AP3" s="309"/>
      <c r="AQ3" s="309"/>
      <c r="AR3" s="309"/>
      <c r="AS3" s="309"/>
      <c r="AT3" s="309"/>
      <c r="AU3" s="309"/>
      <c r="AV3" s="309"/>
      <c r="AW3" s="309"/>
      <c r="AX3" s="305"/>
      <c r="AY3" s="307" t="s">
        <v>158</v>
      </c>
      <c r="AZ3" s="306"/>
      <c r="BA3" s="306"/>
      <c r="BB3" s="306"/>
      <c r="BC3" s="306"/>
      <c r="BD3" s="306"/>
      <c r="BE3" s="306"/>
      <c r="BF3" s="306"/>
      <c r="BG3" s="306"/>
      <c r="BH3" s="306"/>
      <c r="BI3" s="306"/>
      <c r="BJ3" s="306"/>
      <c r="BK3" s="308" t="s">
        <v>158</v>
      </c>
      <c r="BL3" s="309"/>
      <c r="BM3" s="309"/>
      <c r="BN3" s="309"/>
      <c r="BO3" s="309"/>
      <c r="BP3" s="309"/>
      <c r="BQ3" s="309"/>
      <c r="BR3" s="309"/>
      <c r="BS3" s="309"/>
      <c r="BT3" s="309"/>
      <c r="BU3" s="309"/>
      <c r="BV3" s="309"/>
      <c r="BW3" s="307" t="s">
        <v>158</v>
      </c>
      <c r="BX3" s="306"/>
      <c r="BY3" s="306"/>
      <c r="BZ3" s="306"/>
      <c r="CA3" s="306"/>
      <c r="CB3" s="306"/>
      <c r="CC3" s="306"/>
      <c r="CD3" s="306"/>
      <c r="CE3" s="306"/>
      <c r="CF3" s="306"/>
      <c r="CG3" s="306"/>
      <c r="CH3" s="306"/>
      <c r="CI3" s="725" t="s">
        <v>158</v>
      </c>
      <c r="CJ3" s="725"/>
      <c r="CK3" s="725"/>
      <c r="CL3" s="725"/>
      <c r="CM3" s="725"/>
      <c r="CN3" s="725"/>
      <c r="CO3" s="725"/>
      <c r="CP3" s="725"/>
      <c r="CQ3" s="725"/>
      <c r="CR3" s="725"/>
      <c r="CS3" s="726" t="s">
        <v>158</v>
      </c>
      <c r="CT3" s="726"/>
      <c r="CU3" s="726"/>
      <c r="CV3" s="726"/>
      <c r="CW3" s="726"/>
      <c r="CX3" s="726"/>
      <c r="CY3" s="726"/>
      <c r="CZ3" s="726"/>
      <c r="DA3" s="726"/>
      <c r="DB3" s="726"/>
      <c r="DC3" s="725" t="s">
        <v>158</v>
      </c>
      <c r="DD3" s="725"/>
      <c r="DE3" s="725"/>
      <c r="DF3" s="725"/>
      <c r="DG3" s="725"/>
      <c r="DH3" s="725"/>
      <c r="DI3" s="725"/>
      <c r="DJ3" s="725"/>
      <c r="DK3" s="725"/>
      <c r="DL3" s="725"/>
      <c r="DM3" s="726" t="s">
        <v>158</v>
      </c>
      <c r="DN3" s="726"/>
      <c r="DO3" s="726"/>
      <c r="DP3" s="726"/>
      <c r="DQ3" s="726"/>
      <c r="DR3" s="726"/>
      <c r="DS3" s="726"/>
      <c r="DT3" s="726"/>
      <c r="DU3" s="726"/>
      <c r="DV3" s="726"/>
      <c r="DW3" s="725" t="s">
        <v>158</v>
      </c>
      <c r="DX3" s="725"/>
      <c r="DY3" s="725"/>
      <c r="DZ3" s="725"/>
      <c r="EA3" s="725"/>
      <c r="EB3" s="725"/>
      <c r="EC3" s="725"/>
      <c r="ED3" s="725"/>
      <c r="EE3" s="725"/>
      <c r="EF3" s="725"/>
      <c r="EG3" s="306"/>
      <c r="EH3" s="306"/>
      <c r="EI3" s="306"/>
      <c r="EJ3" s="306"/>
      <c r="EK3" s="306"/>
      <c r="EL3" s="306"/>
      <c r="EM3" s="306"/>
      <c r="EN3" s="306"/>
      <c r="EO3" s="306"/>
      <c r="EP3" s="306"/>
      <c r="EQ3" s="306"/>
      <c r="ER3" s="306"/>
      <c r="ES3" s="306"/>
      <c r="ET3" s="309"/>
      <c r="EU3" s="309"/>
      <c r="EV3" s="309"/>
      <c r="EW3" s="309"/>
      <c r="EX3" s="309"/>
      <c r="EY3" s="309"/>
      <c r="EZ3" s="309"/>
      <c r="FA3" s="309"/>
      <c r="FB3" s="309"/>
      <c r="FC3" s="309"/>
      <c r="FD3" s="309"/>
      <c r="FE3" s="309"/>
      <c r="FF3" s="309"/>
      <c r="FG3" s="309"/>
      <c r="FH3" s="309"/>
      <c r="FI3" s="309"/>
    </row>
    <row r="4" spans="2:165" ht="16.5" thickBot="1">
      <c r="B4" s="307"/>
      <c r="C4" s="306"/>
      <c r="D4" s="306"/>
      <c r="E4" s="306"/>
      <c r="F4" s="306"/>
      <c r="G4" s="720" t="s">
        <v>159</v>
      </c>
      <c r="H4" s="720"/>
      <c r="I4" s="306"/>
      <c r="J4" s="720" t="s">
        <v>160</v>
      </c>
      <c r="K4" s="720"/>
      <c r="L4" s="306"/>
      <c r="M4" s="720" t="s">
        <v>3</v>
      </c>
      <c r="N4" s="720"/>
      <c r="O4" s="309"/>
      <c r="P4" s="309"/>
      <c r="Q4" s="309"/>
      <c r="R4" s="309"/>
      <c r="S4" s="721" t="s">
        <v>159</v>
      </c>
      <c r="T4" s="721"/>
      <c r="U4" s="721"/>
      <c r="V4" s="722" t="s">
        <v>160</v>
      </c>
      <c r="W4" s="722"/>
      <c r="X4" s="721" t="s">
        <v>3</v>
      </c>
      <c r="Y4" s="721"/>
      <c r="Z4" s="721"/>
      <c r="AA4" s="306"/>
      <c r="AB4" s="306"/>
      <c r="AC4" s="306"/>
      <c r="AD4" s="306"/>
      <c r="AE4" s="719" t="s">
        <v>159</v>
      </c>
      <c r="AF4" s="719"/>
      <c r="AG4" s="719"/>
      <c r="AH4" s="720" t="s">
        <v>160</v>
      </c>
      <c r="AI4" s="720"/>
      <c r="AJ4" s="719" t="s">
        <v>3</v>
      </c>
      <c r="AK4" s="719"/>
      <c r="AL4" s="309"/>
      <c r="AM4" s="309"/>
      <c r="AN4" s="309"/>
      <c r="AO4" s="309"/>
      <c r="AP4" s="721" t="s">
        <v>159</v>
      </c>
      <c r="AQ4" s="721"/>
      <c r="AR4" s="721"/>
      <c r="AS4" s="721"/>
      <c r="AT4" s="722" t="s">
        <v>160</v>
      </c>
      <c r="AU4" s="722"/>
      <c r="AV4" s="721" t="s">
        <v>3</v>
      </c>
      <c r="AW4" s="721"/>
      <c r="AX4" s="721"/>
      <c r="AY4" s="306"/>
      <c r="AZ4" s="306"/>
      <c r="BA4" s="306"/>
      <c r="BB4" s="306"/>
      <c r="BC4" s="719" t="s">
        <v>159</v>
      </c>
      <c r="BD4" s="719"/>
      <c r="BE4" s="719"/>
      <c r="BF4" s="720" t="s">
        <v>160</v>
      </c>
      <c r="BG4" s="720"/>
      <c r="BH4" s="719" t="s">
        <v>3</v>
      </c>
      <c r="BI4" s="719"/>
      <c r="BJ4" s="719"/>
      <c r="BK4" s="309"/>
      <c r="BL4" s="309"/>
      <c r="BM4" s="309"/>
      <c r="BN4" s="309"/>
      <c r="BO4" s="721" t="s">
        <v>159</v>
      </c>
      <c r="BP4" s="721"/>
      <c r="BQ4" s="721"/>
      <c r="BR4" s="721" t="s">
        <v>160</v>
      </c>
      <c r="BS4" s="721"/>
      <c r="BT4" s="721"/>
      <c r="BU4" s="721" t="s">
        <v>3</v>
      </c>
      <c r="BV4" s="721"/>
      <c r="BW4" s="306"/>
      <c r="BX4" s="306"/>
      <c r="BY4" s="306"/>
      <c r="BZ4" s="306"/>
      <c r="CA4" s="306"/>
      <c r="CB4" s="719" t="s">
        <v>159</v>
      </c>
      <c r="CC4" s="719"/>
      <c r="CD4" s="719"/>
      <c r="CE4" s="720" t="s">
        <v>160</v>
      </c>
      <c r="CF4" s="720"/>
      <c r="CG4" s="719" t="s">
        <v>3</v>
      </c>
      <c r="CH4" s="719"/>
      <c r="CI4" s="309"/>
      <c r="CJ4" s="309"/>
      <c r="CK4" s="309"/>
      <c r="CL4" s="309"/>
      <c r="CM4" s="309"/>
      <c r="CN4" s="309" t="s">
        <v>159</v>
      </c>
      <c r="CO4" s="309"/>
      <c r="CP4" s="309"/>
      <c r="CQ4" s="310" t="s">
        <v>160</v>
      </c>
      <c r="CR4" s="310"/>
      <c r="CS4" s="306"/>
      <c r="CT4" s="306"/>
      <c r="CU4" s="306"/>
      <c r="CV4" s="306"/>
      <c r="CW4" s="306"/>
      <c r="CX4" s="306" t="s">
        <v>159</v>
      </c>
      <c r="CY4" s="306"/>
      <c r="CZ4" s="306"/>
      <c r="DA4" s="311" t="s">
        <v>160</v>
      </c>
      <c r="DB4" s="311"/>
      <c r="DC4" s="309"/>
      <c r="DD4" s="309"/>
      <c r="DE4" s="309"/>
      <c r="DF4" s="309"/>
      <c r="DG4" s="309"/>
      <c r="DH4" s="309" t="s">
        <v>159</v>
      </c>
      <c r="DI4" s="309"/>
      <c r="DJ4" s="309"/>
      <c r="DK4" s="310" t="s">
        <v>160</v>
      </c>
      <c r="DL4" s="310"/>
      <c r="DM4" s="306"/>
      <c r="DN4" s="306"/>
      <c r="DO4" s="306"/>
      <c r="DP4" s="306"/>
      <c r="DQ4" s="306"/>
      <c r="DR4" s="306" t="s">
        <v>159</v>
      </c>
      <c r="DS4" s="306"/>
      <c r="DT4" s="306"/>
      <c r="DU4" s="311" t="s">
        <v>160</v>
      </c>
      <c r="DV4" s="311"/>
      <c r="DW4" s="309"/>
      <c r="DX4" s="309"/>
      <c r="DY4" s="309"/>
      <c r="DZ4" s="309"/>
      <c r="EA4" s="309"/>
      <c r="EB4" s="309" t="s">
        <v>159</v>
      </c>
      <c r="EC4" s="309"/>
      <c r="ED4" s="309"/>
      <c r="EE4" s="310" t="s">
        <v>160</v>
      </c>
      <c r="EF4" s="310"/>
      <c r="EG4" s="716" t="s">
        <v>161</v>
      </c>
      <c r="EH4" s="714" t="s">
        <v>162</v>
      </c>
      <c r="EI4" s="714"/>
      <c r="EJ4" s="714"/>
      <c r="EK4" s="714"/>
      <c r="EL4" s="714"/>
      <c r="EM4" s="714"/>
      <c r="EN4" s="714"/>
      <c r="EO4" s="714"/>
      <c r="EP4" s="714"/>
      <c r="EQ4" s="714"/>
      <c r="ER4" s="714"/>
      <c r="ES4" s="714"/>
      <c r="ET4" s="309"/>
      <c r="EU4" s="309"/>
      <c r="EV4" s="309"/>
      <c r="EW4" s="309"/>
      <c r="EX4" s="717" t="s">
        <v>162</v>
      </c>
      <c r="EY4" s="717"/>
      <c r="EZ4" s="717"/>
      <c r="FA4" s="717"/>
      <c r="FB4" s="717"/>
      <c r="FC4" s="717"/>
      <c r="FD4" s="717"/>
      <c r="FE4" s="717"/>
      <c r="FF4" s="717"/>
      <c r="FG4" s="717"/>
      <c r="FH4" s="717"/>
      <c r="FI4" s="717"/>
    </row>
    <row r="5" spans="2:165" ht="15" customHeight="1">
      <c r="B5" s="647"/>
      <c r="C5" s="647"/>
      <c r="D5" s="647"/>
      <c r="E5" s="699" t="s">
        <v>163</v>
      </c>
      <c r="F5" s="647"/>
      <c r="G5" s="701" t="s">
        <v>164</v>
      </c>
      <c r="H5" s="312" t="s">
        <v>165</v>
      </c>
      <c r="I5" s="647"/>
      <c r="J5" s="704" t="s">
        <v>164</v>
      </c>
      <c r="K5" s="312" t="s">
        <v>165</v>
      </c>
      <c r="L5" s="647"/>
      <c r="M5" s="704" t="s">
        <v>164</v>
      </c>
      <c r="N5" s="312" t="s">
        <v>165</v>
      </c>
      <c r="O5" s="309"/>
      <c r="P5" s="309"/>
      <c r="Q5" s="309"/>
      <c r="R5" s="309"/>
      <c r="S5" s="693" t="s">
        <v>164</v>
      </c>
      <c r="T5" s="693"/>
      <c r="U5" s="313" t="s">
        <v>165</v>
      </c>
      <c r="V5" s="690" t="s">
        <v>164</v>
      </c>
      <c r="W5" s="313" t="s">
        <v>165</v>
      </c>
      <c r="X5" s="693" t="s">
        <v>164</v>
      </c>
      <c r="Y5" s="693"/>
      <c r="Z5" s="313" t="s">
        <v>165</v>
      </c>
      <c r="AA5" s="306"/>
      <c r="AB5" s="306"/>
      <c r="AC5" s="306"/>
      <c r="AD5" s="306"/>
      <c r="AE5" s="694" t="s">
        <v>164</v>
      </c>
      <c r="AF5" s="694"/>
      <c r="AG5" s="312" t="s">
        <v>165</v>
      </c>
      <c r="AH5" s="704" t="s">
        <v>164</v>
      </c>
      <c r="AI5" s="312" t="s">
        <v>165</v>
      </c>
      <c r="AJ5" s="314" t="s">
        <v>164</v>
      </c>
      <c r="AK5" s="312" t="s">
        <v>165</v>
      </c>
      <c r="AL5" s="309"/>
      <c r="AM5" s="309"/>
      <c r="AN5" s="309"/>
      <c r="AO5" s="309"/>
      <c r="AP5" s="693" t="s">
        <v>164</v>
      </c>
      <c r="AQ5" s="693"/>
      <c r="AR5" s="693" t="s">
        <v>165</v>
      </c>
      <c r="AS5" s="693"/>
      <c r="AT5" s="690" t="s">
        <v>164</v>
      </c>
      <c r="AU5" s="313" t="s">
        <v>165</v>
      </c>
      <c r="AV5" s="693" t="s">
        <v>164</v>
      </c>
      <c r="AW5" s="693"/>
      <c r="AX5" s="313" t="s">
        <v>165</v>
      </c>
      <c r="AY5" s="306"/>
      <c r="AZ5" s="306"/>
      <c r="BA5" s="306"/>
      <c r="BB5" s="306"/>
      <c r="BC5" s="694" t="s">
        <v>164</v>
      </c>
      <c r="BD5" s="694"/>
      <c r="BE5" s="312" t="s">
        <v>165</v>
      </c>
      <c r="BF5" s="704" t="s">
        <v>164</v>
      </c>
      <c r="BG5" s="312" t="s">
        <v>165</v>
      </c>
      <c r="BH5" s="694" t="s">
        <v>164</v>
      </c>
      <c r="BI5" s="694"/>
      <c r="BJ5" s="312" t="s">
        <v>165</v>
      </c>
      <c r="BK5" s="309"/>
      <c r="BL5" s="309"/>
      <c r="BM5" s="309"/>
      <c r="BN5" s="309"/>
      <c r="BO5" s="693" t="s">
        <v>164</v>
      </c>
      <c r="BP5" s="693"/>
      <c r="BQ5" s="313" t="s">
        <v>165</v>
      </c>
      <c r="BR5" s="693" t="s">
        <v>164</v>
      </c>
      <c r="BS5" s="693"/>
      <c r="BT5" s="315" t="s">
        <v>165</v>
      </c>
      <c r="BU5" s="693" t="s">
        <v>164</v>
      </c>
      <c r="BV5" s="313" t="s">
        <v>165</v>
      </c>
      <c r="BW5" s="306"/>
      <c r="BX5" s="306"/>
      <c r="BY5" s="306"/>
      <c r="BZ5" s="306"/>
      <c r="CA5" s="306"/>
      <c r="CB5" s="694" t="s">
        <v>164</v>
      </c>
      <c r="CC5" s="694"/>
      <c r="CD5" s="312" t="s">
        <v>165</v>
      </c>
      <c r="CE5" s="704" t="s">
        <v>164</v>
      </c>
      <c r="CF5" s="312" t="s">
        <v>165</v>
      </c>
      <c r="CG5" s="314" t="s">
        <v>164</v>
      </c>
      <c r="CH5" s="312" t="s">
        <v>165</v>
      </c>
      <c r="CI5" s="309"/>
      <c r="CJ5" s="309"/>
      <c r="CK5" s="309"/>
      <c r="CL5" s="309"/>
      <c r="CM5" s="690" t="s">
        <v>164</v>
      </c>
      <c r="CN5" s="313" t="s">
        <v>165</v>
      </c>
      <c r="CO5" s="690" t="s">
        <v>164</v>
      </c>
      <c r="CP5" s="313" t="s">
        <v>165</v>
      </c>
      <c r="CQ5" s="315" t="s">
        <v>164</v>
      </c>
      <c r="CR5" s="313" t="s">
        <v>165</v>
      </c>
      <c r="CS5" s="306"/>
      <c r="CT5" s="306"/>
      <c r="CU5" s="306"/>
      <c r="CV5" s="306"/>
      <c r="CW5" s="704" t="s">
        <v>164</v>
      </c>
      <c r="CX5" s="312" t="s">
        <v>165</v>
      </c>
      <c r="CY5" s="704" t="s">
        <v>164</v>
      </c>
      <c r="CZ5" s="312" t="s">
        <v>165</v>
      </c>
      <c r="DA5" s="314" t="s">
        <v>164</v>
      </c>
      <c r="DB5" s="312" t="s">
        <v>165</v>
      </c>
      <c r="DC5" s="309"/>
      <c r="DD5" s="309"/>
      <c r="DE5" s="309"/>
      <c r="DF5" s="309"/>
      <c r="DG5" s="690" t="s">
        <v>164</v>
      </c>
      <c r="DH5" s="313" t="s">
        <v>165</v>
      </c>
      <c r="DI5" s="690" t="s">
        <v>164</v>
      </c>
      <c r="DJ5" s="313" t="s">
        <v>165</v>
      </c>
      <c r="DK5" s="315" t="s">
        <v>164</v>
      </c>
      <c r="DL5" s="313" t="s">
        <v>165</v>
      </c>
      <c r="DM5" s="306"/>
      <c r="DN5" s="306"/>
      <c r="DO5" s="306"/>
      <c r="DP5" s="306"/>
      <c r="DQ5" s="704" t="s">
        <v>164</v>
      </c>
      <c r="DR5" s="312" t="s">
        <v>165</v>
      </c>
      <c r="DS5" s="704" t="s">
        <v>164</v>
      </c>
      <c r="DT5" s="312" t="s">
        <v>165</v>
      </c>
      <c r="DU5" s="314" t="s">
        <v>164</v>
      </c>
      <c r="DV5" s="312" t="s">
        <v>165</v>
      </c>
      <c r="DW5" s="309"/>
      <c r="DX5" s="309"/>
      <c r="DY5" s="309"/>
      <c r="DZ5" s="309"/>
      <c r="EA5" s="690" t="s">
        <v>164</v>
      </c>
      <c r="EB5" s="313" t="s">
        <v>165</v>
      </c>
      <c r="EC5" s="690" t="s">
        <v>164</v>
      </c>
      <c r="ED5" s="313" t="s">
        <v>165</v>
      </c>
      <c r="EE5" s="315" t="s">
        <v>164</v>
      </c>
      <c r="EF5" s="313" t="s">
        <v>165</v>
      </c>
      <c r="EG5" s="716"/>
      <c r="EH5" s="710" t="s">
        <v>166</v>
      </c>
      <c r="EI5" s="710"/>
      <c r="EJ5" s="710"/>
      <c r="EK5" s="710"/>
      <c r="EL5" s="710" t="s">
        <v>167</v>
      </c>
      <c r="EM5" s="710"/>
      <c r="EN5" s="710"/>
      <c r="EO5" s="710"/>
      <c r="EP5" s="714" t="s">
        <v>168</v>
      </c>
      <c r="EQ5" s="714"/>
      <c r="ER5" s="714"/>
      <c r="ES5" s="714"/>
      <c r="ET5" s="309"/>
      <c r="EU5" s="309"/>
      <c r="EV5" s="309"/>
      <c r="EW5" s="309"/>
      <c r="EX5" s="713" t="s">
        <v>166</v>
      </c>
      <c r="EY5" s="713"/>
      <c r="EZ5" s="713"/>
      <c r="FA5" s="713"/>
      <c r="FB5" s="713" t="s">
        <v>167</v>
      </c>
      <c r="FC5" s="713"/>
      <c r="FD5" s="713"/>
      <c r="FE5" s="713"/>
      <c r="FF5" s="717" t="s">
        <v>168</v>
      </c>
      <c r="FG5" s="717"/>
      <c r="FH5" s="717"/>
      <c r="FI5" s="717"/>
    </row>
    <row r="6" spans="2:165" ht="15" customHeight="1">
      <c r="B6" s="647"/>
      <c r="C6" s="647"/>
      <c r="D6" s="647"/>
      <c r="E6" s="699"/>
      <c r="F6" s="647"/>
      <c r="G6" s="702"/>
      <c r="H6" s="316"/>
      <c r="I6" s="647"/>
      <c r="J6" s="705"/>
      <c r="K6" s="316"/>
      <c r="L6" s="647"/>
      <c r="M6" s="705"/>
      <c r="N6" s="316"/>
      <c r="O6" s="309"/>
      <c r="P6" s="309"/>
      <c r="Q6" s="309"/>
      <c r="R6" s="309"/>
      <c r="S6" s="693"/>
      <c r="T6" s="693"/>
      <c r="U6" s="305"/>
      <c r="V6" s="691"/>
      <c r="W6" s="305"/>
      <c r="X6" s="693"/>
      <c r="Y6" s="693"/>
      <c r="Z6" s="305"/>
      <c r="AA6" s="306"/>
      <c r="AB6" s="306"/>
      <c r="AC6" s="306"/>
      <c r="AD6" s="306"/>
      <c r="AE6" s="694"/>
      <c r="AF6" s="694"/>
      <c r="AG6" s="316"/>
      <c r="AH6" s="705"/>
      <c r="AI6" s="316"/>
      <c r="AJ6" s="314"/>
      <c r="AK6" s="316"/>
      <c r="AL6" s="309"/>
      <c r="AM6" s="309"/>
      <c r="AN6" s="309"/>
      <c r="AO6" s="309"/>
      <c r="AP6" s="693"/>
      <c r="AQ6" s="693"/>
      <c r="AR6" s="693" t="s">
        <v>169</v>
      </c>
      <c r="AS6" s="693"/>
      <c r="AT6" s="691"/>
      <c r="AU6" s="305"/>
      <c r="AV6" s="693"/>
      <c r="AW6" s="693"/>
      <c r="AX6" s="305"/>
      <c r="AY6" s="306"/>
      <c r="AZ6" s="306"/>
      <c r="BA6" s="306"/>
      <c r="BB6" s="306"/>
      <c r="BC6" s="694"/>
      <c r="BD6" s="694"/>
      <c r="BE6" s="316"/>
      <c r="BF6" s="705"/>
      <c r="BG6" s="316"/>
      <c r="BH6" s="694"/>
      <c r="BI6" s="694"/>
      <c r="BJ6" s="316"/>
      <c r="BK6" s="309"/>
      <c r="BL6" s="309"/>
      <c r="BM6" s="309"/>
      <c r="BN6" s="309"/>
      <c r="BO6" s="693"/>
      <c r="BP6" s="693"/>
      <c r="BQ6" s="305"/>
      <c r="BR6" s="693"/>
      <c r="BS6" s="693"/>
      <c r="BT6" s="693" t="s">
        <v>169</v>
      </c>
      <c r="BU6" s="693"/>
      <c r="BV6" s="305"/>
      <c r="BW6" s="306"/>
      <c r="BX6" s="306"/>
      <c r="BY6" s="306"/>
      <c r="BZ6" s="306"/>
      <c r="CA6" s="306"/>
      <c r="CB6" s="694"/>
      <c r="CC6" s="694"/>
      <c r="CD6" s="316"/>
      <c r="CE6" s="705"/>
      <c r="CF6" s="316"/>
      <c r="CG6" s="314"/>
      <c r="CH6" s="316"/>
      <c r="CI6" s="309"/>
      <c r="CJ6" s="309"/>
      <c r="CK6" s="309"/>
      <c r="CL6" s="309"/>
      <c r="CM6" s="691"/>
      <c r="CN6" s="305"/>
      <c r="CO6" s="691"/>
      <c r="CP6" s="305"/>
      <c r="CQ6" s="315"/>
      <c r="CR6" s="305"/>
      <c r="CS6" s="306"/>
      <c r="CT6" s="306"/>
      <c r="CU6" s="306"/>
      <c r="CV6" s="306"/>
      <c r="CW6" s="705"/>
      <c r="CX6" s="316"/>
      <c r="CY6" s="705"/>
      <c r="CZ6" s="316"/>
      <c r="DA6" s="314"/>
      <c r="DB6" s="316"/>
      <c r="DC6" s="309"/>
      <c r="DD6" s="309"/>
      <c r="DE6" s="309"/>
      <c r="DF6" s="309"/>
      <c r="DG6" s="691"/>
      <c r="DH6" s="305"/>
      <c r="DI6" s="691"/>
      <c r="DJ6" s="305"/>
      <c r="DK6" s="315"/>
      <c r="DL6" s="305"/>
      <c r="DM6" s="306"/>
      <c r="DN6" s="306"/>
      <c r="DO6" s="306"/>
      <c r="DP6" s="306"/>
      <c r="DQ6" s="705"/>
      <c r="DR6" s="316"/>
      <c r="DS6" s="705"/>
      <c r="DT6" s="316"/>
      <c r="DU6" s="314"/>
      <c r="DV6" s="316"/>
      <c r="DW6" s="309"/>
      <c r="DX6" s="309"/>
      <c r="DY6" s="309"/>
      <c r="DZ6" s="309"/>
      <c r="EA6" s="691"/>
      <c r="EB6" s="305"/>
      <c r="EC6" s="691"/>
      <c r="ED6" s="305"/>
      <c r="EE6" s="315"/>
      <c r="EF6" s="305"/>
      <c r="EG6" s="716"/>
      <c r="EH6" s="710" t="s">
        <v>164</v>
      </c>
      <c r="EI6" s="710"/>
      <c r="EJ6" s="710"/>
      <c r="EK6" s="711" t="s">
        <v>170</v>
      </c>
      <c r="EL6" s="710" t="s">
        <v>164</v>
      </c>
      <c r="EM6" s="710"/>
      <c r="EN6" s="710"/>
      <c r="EO6" s="711" t="s">
        <v>170</v>
      </c>
      <c r="EP6" s="710" t="s">
        <v>164</v>
      </c>
      <c r="EQ6" s="710"/>
      <c r="ER6" s="710"/>
      <c r="ES6" s="712" t="s">
        <v>170</v>
      </c>
      <c r="ET6" s="309"/>
      <c r="EU6" s="309"/>
      <c r="EV6" s="309"/>
      <c r="EW6" s="309"/>
      <c r="EX6" s="713" t="s">
        <v>164</v>
      </c>
      <c r="EY6" s="713"/>
      <c r="EZ6" s="713"/>
      <c r="FA6" s="715" t="s">
        <v>170</v>
      </c>
      <c r="FB6" s="713" t="s">
        <v>164</v>
      </c>
      <c r="FC6" s="713"/>
      <c r="FD6" s="713"/>
      <c r="FE6" s="715" t="s">
        <v>170</v>
      </c>
      <c r="FF6" s="713" t="s">
        <v>164</v>
      </c>
      <c r="FG6" s="713"/>
      <c r="FH6" s="713"/>
      <c r="FI6" s="718" t="s">
        <v>170</v>
      </c>
    </row>
    <row r="7" spans="2:165" ht="21.75" customHeight="1" thickBot="1">
      <c r="B7" s="648"/>
      <c r="C7" s="648"/>
      <c r="D7" s="648"/>
      <c r="E7" s="700"/>
      <c r="F7" s="648"/>
      <c r="G7" s="703"/>
      <c r="H7" s="317" t="s">
        <v>169</v>
      </c>
      <c r="I7" s="648"/>
      <c r="J7" s="706"/>
      <c r="K7" s="317" t="s">
        <v>169</v>
      </c>
      <c r="L7" s="648"/>
      <c r="M7" s="706"/>
      <c r="N7" s="317" t="s">
        <v>169</v>
      </c>
      <c r="O7" s="309"/>
      <c r="P7" s="309"/>
      <c r="Q7" s="309"/>
      <c r="R7" s="309"/>
      <c r="S7" s="693"/>
      <c r="T7" s="693"/>
      <c r="U7" s="318" t="s">
        <v>169</v>
      </c>
      <c r="V7" s="692"/>
      <c r="W7" s="318" t="s">
        <v>169</v>
      </c>
      <c r="X7" s="693"/>
      <c r="Y7" s="693"/>
      <c r="Z7" s="318" t="s">
        <v>169</v>
      </c>
      <c r="AA7" s="306"/>
      <c r="AB7" s="306"/>
      <c r="AC7" s="306"/>
      <c r="AD7" s="306"/>
      <c r="AE7" s="694"/>
      <c r="AF7" s="694"/>
      <c r="AG7" s="317" t="s">
        <v>169</v>
      </c>
      <c r="AH7" s="706"/>
      <c r="AI7" s="317" t="s">
        <v>169</v>
      </c>
      <c r="AJ7" s="314"/>
      <c r="AK7" s="317" t="s">
        <v>169</v>
      </c>
      <c r="AL7" s="309"/>
      <c r="AM7" s="309"/>
      <c r="AN7" s="309"/>
      <c r="AO7" s="309"/>
      <c r="AP7" s="693"/>
      <c r="AQ7" s="693"/>
      <c r="AR7" s="709"/>
      <c r="AS7" s="709"/>
      <c r="AT7" s="692"/>
      <c r="AU7" s="318" t="s">
        <v>169</v>
      </c>
      <c r="AV7" s="693"/>
      <c r="AW7" s="693"/>
      <c r="AX7" s="318" t="s">
        <v>169</v>
      </c>
      <c r="AY7" s="306"/>
      <c r="AZ7" s="306"/>
      <c r="BA7" s="306"/>
      <c r="BB7" s="306"/>
      <c r="BC7" s="694"/>
      <c r="BD7" s="694"/>
      <c r="BE7" s="317" t="s">
        <v>169</v>
      </c>
      <c r="BF7" s="706"/>
      <c r="BG7" s="317" t="s">
        <v>169</v>
      </c>
      <c r="BH7" s="694"/>
      <c r="BI7" s="694"/>
      <c r="BJ7" s="317" t="s">
        <v>169</v>
      </c>
      <c r="BK7" s="309"/>
      <c r="BL7" s="309"/>
      <c r="BM7" s="309"/>
      <c r="BN7" s="309"/>
      <c r="BO7" s="693"/>
      <c r="BP7" s="693"/>
      <c r="BQ7" s="318" t="s">
        <v>169</v>
      </c>
      <c r="BR7" s="693"/>
      <c r="BS7" s="693"/>
      <c r="BT7" s="709"/>
      <c r="BU7" s="709"/>
      <c r="BV7" s="318" t="s">
        <v>169</v>
      </c>
      <c r="BW7" s="306"/>
      <c r="BX7" s="306"/>
      <c r="BY7" s="306"/>
      <c r="BZ7" s="306"/>
      <c r="CA7" s="306"/>
      <c r="CB7" s="694"/>
      <c r="CC7" s="694"/>
      <c r="CD7" s="317" t="s">
        <v>169</v>
      </c>
      <c r="CE7" s="706"/>
      <c r="CF7" s="317" t="s">
        <v>169</v>
      </c>
      <c r="CG7" s="314"/>
      <c r="CH7" s="317" t="s">
        <v>169</v>
      </c>
      <c r="CI7" s="309"/>
      <c r="CJ7" s="309"/>
      <c r="CK7" s="309"/>
      <c r="CL7" s="309"/>
      <c r="CM7" s="692"/>
      <c r="CN7" s="318" t="s">
        <v>169</v>
      </c>
      <c r="CO7" s="692"/>
      <c r="CP7" s="318" t="s">
        <v>169</v>
      </c>
      <c r="CQ7" s="315"/>
      <c r="CR7" s="318" t="s">
        <v>169</v>
      </c>
      <c r="CS7" s="306"/>
      <c r="CT7" s="306"/>
      <c r="CU7" s="306"/>
      <c r="CV7" s="306"/>
      <c r="CW7" s="706"/>
      <c r="CX7" s="317" t="s">
        <v>169</v>
      </c>
      <c r="CY7" s="706"/>
      <c r="CZ7" s="317" t="s">
        <v>169</v>
      </c>
      <c r="DA7" s="314"/>
      <c r="DB7" s="317" t="s">
        <v>169</v>
      </c>
      <c r="DC7" s="309"/>
      <c r="DD7" s="309"/>
      <c r="DE7" s="309"/>
      <c r="DF7" s="309"/>
      <c r="DG7" s="692"/>
      <c r="DH7" s="318" t="s">
        <v>169</v>
      </c>
      <c r="DI7" s="692"/>
      <c r="DJ7" s="318" t="s">
        <v>169</v>
      </c>
      <c r="DK7" s="315"/>
      <c r="DL7" s="318" t="s">
        <v>169</v>
      </c>
      <c r="DM7" s="306"/>
      <c r="DN7" s="306"/>
      <c r="DO7" s="306"/>
      <c r="DP7" s="306"/>
      <c r="DQ7" s="706"/>
      <c r="DR7" s="317" t="s">
        <v>169</v>
      </c>
      <c r="DS7" s="706"/>
      <c r="DT7" s="317" t="s">
        <v>169</v>
      </c>
      <c r="DU7" s="314"/>
      <c r="DV7" s="317" t="s">
        <v>169</v>
      </c>
      <c r="DW7" s="309"/>
      <c r="DX7" s="309"/>
      <c r="DY7" s="309"/>
      <c r="DZ7" s="309"/>
      <c r="EA7" s="692"/>
      <c r="EB7" s="318" t="s">
        <v>169</v>
      </c>
      <c r="EC7" s="692"/>
      <c r="ED7" s="318" t="s">
        <v>169</v>
      </c>
      <c r="EE7" s="315"/>
      <c r="EF7" s="318" t="s">
        <v>169</v>
      </c>
      <c r="EG7" s="716"/>
      <c r="EH7" s="319" t="s">
        <v>171</v>
      </c>
      <c r="EI7" s="320" t="s">
        <v>172</v>
      </c>
      <c r="EJ7" s="320" t="s">
        <v>3</v>
      </c>
      <c r="EK7" s="711"/>
      <c r="EL7" s="319" t="s">
        <v>171</v>
      </c>
      <c r="EM7" s="320" t="s">
        <v>172</v>
      </c>
      <c r="EN7" s="320" t="s">
        <v>3</v>
      </c>
      <c r="EO7" s="711"/>
      <c r="EP7" s="319" t="s">
        <v>171</v>
      </c>
      <c r="EQ7" s="320" t="s">
        <v>172</v>
      </c>
      <c r="ER7" s="320" t="s">
        <v>3</v>
      </c>
      <c r="ES7" s="712"/>
      <c r="ET7" s="309"/>
      <c r="EU7" s="309"/>
      <c r="EV7" s="309"/>
      <c r="EW7" s="309"/>
      <c r="EX7" s="321" t="s">
        <v>171</v>
      </c>
      <c r="EY7" s="322" t="s">
        <v>172</v>
      </c>
      <c r="EZ7" s="322" t="s">
        <v>3</v>
      </c>
      <c r="FA7" s="715"/>
      <c r="FB7" s="321" t="s">
        <v>171</v>
      </c>
      <c r="FC7" s="322" t="s">
        <v>172</v>
      </c>
      <c r="FD7" s="322" t="s">
        <v>3</v>
      </c>
      <c r="FE7" s="715"/>
      <c r="FF7" s="321" t="s">
        <v>171</v>
      </c>
      <c r="FG7" s="322" t="s">
        <v>172</v>
      </c>
      <c r="FH7" s="322" t="s">
        <v>3</v>
      </c>
      <c r="FI7" s="718"/>
    </row>
    <row r="8" spans="2:165">
      <c r="B8" s="697" t="s">
        <v>173</v>
      </c>
      <c r="C8" s="697">
        <v>416.5</v>
      </c>
      <c r="D8" s="697"/>
      <c r="E8" s="698"/>
      <c r="F8" s="698"/>
      <c r="G8" s="323"/>
      <c r="H8" s="323"/>
      <c r="I8" s="698"/>
      <c r="J8" s="684">
        <v>0.1</v>
      </c>
      <c r="K8" s="684">
        <v>0</v>
      </c>
      <c r="L8" s="698"/>
      <c r="M8" s="684">
        <v>0.4</v>
      </c>
      <c r="N8" s="684">
        <v>0.3</v>
      </c>
      <c r="O8" s="324" t="s">
        <v>173</v>
      </c>
      <c r="P8" s="325">
        <v>480.53</v>
      </c>
      <c r="Q8" s="326"/>
      <c r="R8" s="326"/>
      <c r="S8" s="687">
        <v>1.4</v>
      </c>
      <c r="T8" s="687"/>
      <c r="U8" s="327">
        <v>1.1000000000000001</v>
      </c>
      <c r="V8" s="328">
        <v>0.2</v>
      </c>
      <c r="W8" s="328">
        <v>0.1</v>
      </c>
      <c r="X8" s="688">
        <v>0.9</v>
      </c>
      <c r="Y8" s="688"/>
      <c r="Z8" s="329">
        <v>0.7</v>
      </c>
      <c r="AA8" s="330" t="s">
        <v>173</v>
      </c>
      <c r="AB8" s="331">
        <v>480.53</v>
      </c>
      <c r="AC8" s="332"/>
      <c r="AD8" s="332"/>
      <c r="AE8" s="689">
        <v>1.3</v>
      </c>
      <c r="AF8" s="689"/>
      <c r="AG8" s="333">
        <v>1.3</v>
      </c>
      <c r="AH8" s="334">
        <v>0</v>
      </c>
      <c r="AI8" s="334">
        <v>0.1</v>
      </c>
      <c r="AJ8" s="334">
        <v>0.7</v>
      </c>
      <c r="AK8" s="335">
        <v>0.8</v>
      </c>
      <c r="AL8" s="336" t="s">
        <v>173</v>
      </c>
      <c r="AM8" s="337">
        <v>598.03</v>
      </c>
      <c r="AN8" s="326"/>
      <c r="AO8" s="326"/>
      <c r="AP8" s="685">
        <v>2</v>
      </c>
      <c r="AQ8" s="685"/>
      <c r="AR8" s="685">
        <v>1.8</v>
      </c>
      <c r="AS8" s="685"/>
      <c r="AT8" s="338">
        <v>0</v>
      </c>
      <c r="AU8" s="338">
        <v>0.1</v>
      </c>
      <c r="AV8" s="686">
        <v>1.2</v>
      </c>
      <c r="AW8" s="686"/>
      <c r="AX8" s="339">
        <v>1</v>
      </c>
      <c r="AY8" s="340" t="s">
        <v>173</v>
      </c>
      <c r="AZ8" s="341">
        <v>598.03</v>
      </c>
      <c r="BA8" s="332"/>
      <c r="BB8" s="332"/>
      <c r="BC8" s="695">
        <v>1.8</v>
      </c>
      <c r="BD8" s="695"/>
      <c r="BE8" s="342">
        <v>1.8</v>
      </c>
      <c r="BF8" s="343">
        <v>0.1</v>
      </c>
      <c r="BG8" s="343">
        <v>0.1</v>
      </c>
      <c r="BH8" s="696">
        <v>1.1000000000000001</v>
      </c>
      <c r="BI8" s="696"/>
      <c r="BJ8" s="344">
        <v>1.1000000000000001</v>
      </c>
      <c r="BK8" s="336" t="s">
        <v>173</v>
      </c>
      <c r="BL8" s="337">
        <v>492.92</v>
      </c>
      <c r="BM8" s="326"/>
      <c r="BN8" s="326"/>
      <c r="BO8" s="685">
        <v>0.7</v>
      </c>
      <c r="BP8" s="685"/>
      <c r="BQ8" s="345">
        <v>1</v>
      </c>
      <c r="BR8" s="686">
        <v>0.1</v>
      </c>
      <c r="BS8" s="686"/>
      <c r="BT8" s="338">
        <v>0</v>
      </c>
      <c r="BU8" s="338">
        <v>0.4</v>
      </c>
      <c r="BV8" s="346">
        <v>0.6</v>
      </c>
      <c r="BW8" s="707" t="s">
        <v>174</v>
      </c>
      <c r="BX8" s="707"/>
      <c r="BY8" s="707"/>
      <c r="BZ8" s="707"/>
      <c r="CA8" s="347">
        <v>523.44000000000005</v>
      </c>
      <c r="CB8" s="708">
        <v>0.7</v>
      </c>
      <c r="CC8" s="708"/>
      <c r="CD8" s="348">
        <v>0.6</v>
      </c>
      <c r="CE8" s="348">
        <v>0.1</v>
      </c>
      <c r="CF8" s="348">
        <v>0.1</v>
      </c>
      <c r="CG8" s="348">
        <v>0.4</v>
      </c>
      <c r="CH8" s="349">
        <v>0.4</v>
      </c>
      <c r="CI8" s="350" t="s">
        <v>173</v>
      </c>
      <c r="CJ8" s="309">
        <v>822.99</v>
      </c>
      <c r="CK8" s="309"/>
      <c r="CL8" s="309"/>
      <c r="CM8" s="309">
        <v>1.5</v>
      </c>
      <c r="CN8" s="309">
        <v>1.9</v>
      </c>
      <c r="CO8" s="309">
        <v>0.2</v>
      </c>
      <c r="CP8" s="309">
        <v>0.2</v>
      </c>
      <c r="CQ8" s="309">
        <v>1</v>
      </c>
      <c r="CR8" s="309">
        <v>1.2</v>
      </c>
      <c r="CS8" s="306" t="s">
        <v>173</v>
      </c>
      <c r="CT8" s="306">
        <v>822.99</v>
      </c>
      <c r="CU8" s="306"/>
      <c r="CV8" s="306"/>
      <c r="CW8" s="306">
        <v>1.4</v>
      </c>
      <c r="CX8" s="306">
        <v>1.4</v>
      </c>
      <c r="CY8" s="306">
        <v>0.1</v>
      </c>
      <c r="CZ8" s="306">
        <v>0.2</v>
      </c>
      <c r="DA8" s="306">
        <v>0.9</v>
      </c>
      <c r="DB8" s="306">
        <v>0.9</v>
      </c>
      <c r="DC8" s="309" t="s">
        <v>173</v>
      </c>
      <c r="DD8" s="351">
        <v>1034.5899999999999</v>
      </c>
      <c r="DE8" s="309"/>
      <c r="DF8" s="309"/>
      <c r="DG8" s="309">
        <v>1.5</v>
      </c>
      <c r="DH8" s="309">
        <v>1.5</v>
      </c>
      <c r="DI8" s="309">
        <v>0.5</v>
      </c>
      <c r="DJ8" s="309">
        <v>0.4</v>
      </c>
      <c r="DK8" s="309">
        <v>1.1000000000000001</v>
      </c>
      <c r="DL8" s="309">
        <v>1</v>
      </c>
      <c r="DM8" s="306" t="s">
        <v>173</v>
      </c>
      <c r="DN8" s="352">
        <v>1034.5899999999999</v>
      </c>
      <c r="DO8" s="306"/>
      <c r="DP8" s="306"/>
      <c r="DQ8" s="306">
        <v>1.7</v>
      </c>
      <c r="DR8" s="306">
        <v>1.7</v>
      </c>
      <c r="DS8" s="306">
        <v>0.3</v>
      </c>
      <c r="DT8" s="306">
        <v>0.4</v>
      </c>
      <c r="DU8" s="306">
        <v>1.2</v>
      </c>
      <c r="DV8" s="306">
        <v>1.2</v>
      </c>
      <c r="DW8" s="309" t="s">
        <v>173</v>
      </c>
      <c r="DX8" s="351">
        <v>1086.32</v>
      </c>
      <c r="DY8" s="309"/>
      <c r="DZ8" s="309"/>
      <c r="EA8" s="309">
        <v>1.8</v>
      </c>
      <c r="EB8" s="309">
        <v>1.7</v>
      </c>
      <c r="EC8" s="309">
        <v>0.4</v>
      </c>
      <c r="ED8" s="309">
        <v>0.4</v>
      </c>
      <c r="EE8" s="309">
        <v>1.2</v>
      </c>
      <c r="EF8" s="309">
        <v>1.2</v>
      </c>
      <c r="EG8" s="353" t="s">
        <v>175</v>
      </c>
      <c r="EH8" s="354">
        <v>1.8955635484209299</v>
      </c>
      <c r="EI8" s="355">
        <v>1.71868917031168</v>
      </c>
      <c r="EJ8" s="356">
        <v>1.81650687502132</v>
      </c>
      <c r="EK8" s="357">
        <v>1.7460594310589601</v>
      </c>
      <c r="EL8" s="358">
        <v>0.51788899607137295</v>
      </c>
      <c r="EM8" s="359">
        <v>0.233178052501014</v>
      </c>
      <c r="EN8" s="360">
        <v>0.372111859717774</v>
      </c>
      <c r="EO8" s="361">
        <v>0.33827509694111402</v>
      </c>
      <c r="EP8" s="354">
        <v>1.3940467572620501</v>
      </c>
      <c r="EQ8" s="355">
        <v>1.08538809685945</v>
      </c>
      <c r="ER8" s="356">
        <v>1.2481866475173899</v>
      </c>
      <c r="ES8" s="362">
        <v>1.18687019698691</v>
      </c>
      <c r="ET8" s="309" t="s">
        <v>173</v>
      </c>
      <c r="EU8" s="351">
        <v>1140.6400000000001</v>
      </c>
      <c r="EV8" s="309"/>
      <c r="EW8" s="309"/>
      <c r="EX8" s="309">
        <v>1.1000000000000001</v>
      </c>
      <c r="EY8" s="309">
        <v>0.8</v>
      </c>
      <c r="EZ8" s="309">
        <v>1</v>
      </c>
      <c r="FA8" s="309">
        <v>1.5</v>
      </c>
      <c r="FB8" s="309">
        <v>0.4</v>
      </c>
      <c r="FC8" s="309">
        <v>0.2</v>
      </c>
      <c r="FD8" s="309">
        <v>0.3</v>
      </c>
      <c r="FE8" s="309">
        <v>0.4</v>
      </c>
      <c r="FF8" s="309">
        <v>0.8</v>
      </c>
      <c r="FG8" s="309">
        <v>0.6</v>
      </c>
      <c r="FH8" s="309">
        <v>0.7</v>
      </c>
      <c r="FI8" s="309">
        <v>1.1000000000000001</v>
      </c>
    </row>
    <row r="9" spans="2:165">
      <c r="B9" s="650"/>
      <c r="C9" s="650"/>
      <c r="D9" s="650"/>
      <c r="E9" s="647"/>
      <c r="F9" s="647"/>
      <c r="G9" s="363">
        <v>0.7</v>
      </c>
      <c r="H9" s="363">
        <v>0.4</v>
      </c>
      <c r="I9" s="647"/>
      <c r="J9" s="645"/>
      <c r="K9" s="645"/>
      <c r="L9" s="647"/>
      <c r="M9" s="645"/>
      <c r="N9" s="645"/>
      <c r="O9" s="364" t="s">
        <v>176</v>
      </c>
      <c r="P9" s="365">
        <v>480.54</v>
      </c>
      <c r="Q9" s="364" t="s">
        <v>177</v>
      </c>
      <c r="R9" s="366">
        <v>500</v>
      </c>
      <c r="S9" s="663">
        <v>0.1</v>
      </c>
      <c r="T9" s="663"/>
      <c r="U9" s="367">
        <v>0.2</v>
      </c>
      <c r="V9" s="367">
        <v>0</v>
      </c>
      <c r="W9" s="367">
        <v>0</v>
      </c>
      <c r="X9" s="663">
        <v>0</v>
      </c>
      <c r="Y9" s="663"/>
      <c r="Z9" s="368">
        <v>0.2</v>
      </c>
      <c r="AA9" s="369" t="s">
        <v>176</v>
      </c>
      <c r="AB9" s="370">
        <v>480.54</v>
      </c>
      <c r="AC9" s="369" t="s">
        <v>177</v>
      </c>
      <c r="AD9" s="371">
        <v>500</v>
      </c>
      <c r="AE9" s="665">
        <v>0.1</v>
      </c>
      <c r="AF9" s="665"/>
      <c r="AG9" s="372">
        <v>0.1</v>
      </c>
      <c r="AH9" s="372">
        <v>0</v>
      </c>
      <c r="AI9" s="372">
        <v>0</v>
      </c>
      <c r="AJ9" s="372">
        <v>0</v>
      </c>
      <c r="AK9" s="373">
        <v>0</v>
      </c>
      <c r="AL9" s="374" t="s">
        <v>176</v>
      </c>
      <c r="AM9" s="375">
        <v>598.04</v>
      </c>
      <c r="AN9" s="374" t="s">
        <v>177</v>
      </c>
      <c r="AO9" s="376">
        <v>600</v>
      </c>
      <c r="AP9" s="667">
        <v>0</v>
      </c>
      <c r="AQ9" s="667"/>
      <c r="AR9" s="667">
        <v>0.1</v>
      </c>
      <c r="AS9" s="667"/>
      <c r="AT9" s="377">
        <v>0</v>
      </c>
      <c r="AU9" s="377">
        <v>0</v>
      </c>
      <c r="AV9" s="667">
        <v>0</v>
      </c>
      <c r="AW9" s="667"/>
      <c r="AX9" s="378">
        <v>0.1</v>
      </c>
      <c r="AY9" s="379" t="s">
        <v>176</v>
      </c>
      <c r="AZ9" s="380">
        <v>598.04</v>
      </c>
      <c r="BA9" s="379" t="s">
        <v>177</v>
      </c>
      <c r="BB9" s="381">
        <v>600</v>
      </c>
      <c r="BC9" s="669">
        <v>0</v>
      </c>
      <c r="BD9" s="669"/>
      <c r="BE9" s="382">
        <v>0</v>
      </c>
      <c r="BF9" s="382">
        <v>0</v>
      </c>
      <c r="BG9" s="382">
        <v>0</v>
      </c>
      <c r="BH9" s="669">
        <v>0</v>
      </c>
      <c r="BI9" s="669"/>
      <c r="BJ9" s="383">
        <v>0</v>
      </c>
      <c r="BK9" s="374" t="s">
        <v>176</v>
      </c>
      <c r="BL9" s="375">
        <v>492.93</v>
      </c>
      <c r="BM9" s="374" t="s">
        <v>177</v>
      </c>
      <c r="BN9" s="376">
        <v>600</v>
      </c>
      <c r="BO9" s="667">
        <v>0.7</v>
      </c>
      <c r="BP9" s="667"/>
      <c r="BQ9" s="377">
        <v>0.5</v>
      </c>
      <c r="BR9" s="667">
        <v>0</v>
      </c>
      <c r="BS9" s="667"/>
      <c r="BT9" s="377">
        <v>0</v>
      </c>
      <c r="BU9" s="377">
        <v>0.4</v>
      </c>
      <c r="BV9" s="384">
        <v>0.3</v>
      </c>
      <c r="BW9" s="668" t="s">
        <v>178</v>
      </c>
      <c r="BX9" s="668"/>
      <c r="BY9" s="668"/>
      <c r="BZ9" s="668"/>
      <c r="CA9" s="381">
        <v>600</v>
      </c>
      <c r="CB9" s="669">
        <v>0.7</v>
      </c>
      <c r="CC9" s="669"/>
      <c r="CD9" s="382">
        <v>0.7</v>
      </c>
      <c r="CE9" s="382">
        <v>0</v>
      </c>
      <c r="CF9" s="382">
        <v>0</v>
      </c>
      <c r="CG9" s="382">
        <v>0.5</v>
      </c>
      <c r="CH9" s="383">
        <v>0.4</v>
      </c>
      <c r="CI9" s="350" t="s">
        <v>176</v>
      </c>
      <c r="CJ9" s="309">
        <v>823</v>
      </c>
      <c r="CK9" s="309" t="s">
        <v>177</v>
      </c>
      <c r="CL9" s="309">
        <v>900</v>
      </c>
      <c r="CM9" s="309">
        <v>0</v>
      </c>
      <c r="CN9" s="309">
        <v>0.1</v>
      </c>
      <c r="CO9" s="309">
        <v>0.1</v>
      </c>
      <c r="CP9" s="309">
        <v>0.1</v>
      </c>
      <c r="CQ9" s="309">
        <v>0</v>
      </c>
      <c r="CR9" s="309">
        <v>0.1</v>
      </c>
      <c r="CS9" s="306" t="s">
        <v>176</v>
      </c>
      <c r="CT9" s="306">
        <v>823</v>
      </c>
      <c r="CU9" s="306" t="s">
        <v>177</v>
      </c>
      <c r="CV9" s="306">
        <v>900</v>
      </c>
      <c r="CW9" s="306">
        <v>0</v>
      </c>
      <c r="CX9" s="306">
        <v>0</v>
      </c>
      <c r="CY9" s="306">
        <v>0</v>
      </c>
      <c r="CZ9" s="306">
        <v>0.1</v>
      </c>
      <c r="DA9" s="306">
        <v>0</v>
      </c>
      <c r="DB9" s="306">
        <v>0</v>
      </c>
      <c r="DC9" s="309" t="s">
        <v>176</v>
      </c>
      <c r="DD9" s="351">
        <v>1034.5999999999999</v>
      </c>
      <c r="DE9" s="309" t="s">
        <v>177</v>
      </c>
      <c r="DF9" s="385">
        <v>1200</v>
      </c>
      <c r="DG9" s="309">
        <v>0</v>
      </c>
      <c r="DH9" s="309">
        <v>0</v>
      </c>
      <c r="DI9" s="309">
        <v>0.3</v>
      </c>
      <c r="DJ9" s="309">
        <v>0.3</v>
      </c>
      <c r="DK9" s="309">
        <v>0.2</v>
      </c>
      <c r="DL9" s="309">
        <v>0.1</v>
      </c>
      <c r="DM9" s="306" t="s">
        <v>176</v>
      </c>
      <c r="DN9" s="352">
        <v>1034.5999999999999</v>
      </c>
      <c r="DO9" s="306" t="s">
        <v>177</v>
      </c>
      <c r="DP9" s="386">
        <v>1200</v>
      </c>
      <c r="DQ9" s="306">
        <v>0</v>
      </c>
      <c r="DR9" s="306">
        <v>0</v>
      </c>
      <c r="DS9" s="306">
        <v>0.3</v>
      </c>
      <c r="DT9" s="306">
        <v>0.3</v>
      </c>
      <c r="DU9" s="306">
        <v>0.1</v>
      </c>
      <c r="DV9" s="306">
        <v>0.2</v>
      </c>
      <c r="DW9" s="309" t="s">
        <v>176</v>
      </c>
      <c r="DX9" s="351">
        <v>1086.33</v>
      </c>
      <c r="DY9" s="309" t="s">
        <v>177</v>
      </c>
      <c r="DZ9" s="385">
        <v>1200</v>
      </c>
      <c r="EA9" s="309">
        <v>0</v>
      </c>
      <c r="EB9" s="309">
        <v>0</v>
      </c>
      <c r="EC9" s="309">
        <v>0.3</v>
      </c>
      <c r="ED9" s="309">
        <v>0.3</v>
      </c>
      <c r="EE9" s="309">
        <v>0.1</v>
      </c>
      <c r="EF9" s="309">
        <v>0.1</v>
      </c>
      <c r="EG9" s="387" t="s">
        <v>179</v>
      </c>
      <c r="EH9" s="388">
        <v>7.0948676344477404E-3</v>
      </c>
      <c r="EI9" s="389">
        <v>1.9465500263356798E-2</v>
      </c>
      <c r="EJ9" s="390">
        <v>1.2624108635572701E-2</v>
      </c>
      <c r="EK9" s="391">
        <v>3.5315569841944797E-2</v>
      </c>
      <c r="EL9" s="392">
        <v>4.9579383598924297E-2</v>
      </c>
      <c r="EM9" s="393">
        <v>0.12532036301816599</v>
      </c>
      <c r="EN9" s="394">
        <v>8.8360130646764595E-2</v>
      </c>
      <c r="EO9" s="395">
        <v>0.188024792061011</v>
      </c>
      <c r="EP9" s="388">
        <v>2.2560565308913001E-2</v>
      </c>
      <c r="EQ9" s="389">
        <v>6.45934009629891E-2</v>
      </c>
      <c r="ER9" s="390">
        <v>4.2423652945546703E-2</v>
      </c>
      <c r="ES9" s="396">
        <v>9.3107061420500195E-2</v>
      </c>
      <c r="ET9" s="309" t="s">
        <v>176</v>
      </c>
      <c r="EU9" s="351">
        <v>1140.6500000000001</v>
      </c>
      <c r="EV9" s="309" t="s">
        <v>177</v>
      </c>
      <c r="EW9" s="385">
        <v>1200</v>
      </c>
      <c r="EX9" s="309">
        <v>0</v>
      </c>
      <c r="EY9" s="309">
        <v>0</v>
      </c>
      <c r="EZ9" s="309">
        <v>0</v>
      </c>
      <c r="FA9" s="309">
        <v>0</v>
      </c>
      <c r="FB9" s="309">
        <v>0.1</v>
      </c>
      <c r="FC9" s="309">
        <v>0</v>
      </c>
      <c r="FD9" s="309">
        <v>0.1</v>
      </c>
      <c r="FE9" s="309">
        <v>0.1</v>
      </c>
      <c r="FF9" s="309">
        <v>0.1</v>
      </c>
      <c r="FG9" s="309">
        <v>0</v>
      </c>
      <c r="FH9" s="309">
        <v>0</v>
      </c>
      <c r="FI9" s="309">
        <v>0</v>
      </c>
    </row>
    <row r="10" spans="2:165" ht="15.75">
      <c r="B10" s="397" t="s">
        <v>176</v>
      </c>
      <c r="C10" s="650">
        <v>416.51</v>
      </c>
      <c r="D10" s="650"/>
      <c r="E10" s="397" t="s">
        <v>177</v>
      </c>
      <c r="F10" s="397">
        <v>500</v>
      </c>
      <c r="G10" s="363">
        <v>0.7</v>
      </c>
      <c r="H10" s="363">
        <v>1.5</v>
      </c>
      <c r="I10" s="398"/>
      <c r="J10" s="363">
        <v>0.1</v>
      </c>
      <c r="K10" s="363">
        <v>0.8</v>
      </c>
      <c r="L10" s="398"/>
      <c r="M10" s="363">
        <v>0.4</v>
      </c>
      <c r="N10" s="363">
        <v>0.9</v>
      </c>
      <c r="O10" s="364" t="s">
        <v>176</v>
      </c>
      <c r="P10" s="366">
        <v>501</v>
      </c>
      <c r="Q10" s="364" t="s">
        <v>177</v>
      </c>
      <c r="R10" s="366">
        <v>600</v>
      </c>
      <c r="S10" s="663">
        <v>0.5</v>
      </c>
      <c r="T10" s="663"/>
      <c r="U10" s="367">
        <v>0.8</v>
      </c>
      <c r="V10" s="367">
        <v>0.2</v>
      </c>
      <c r="W10" s="367">
        <v>1.7</v>
      </c>
      <c r="X10" s="663">
        <v>0.4</v>
      </c>
      <c r="Y10" s="663"/>
      <c r="Z10" s="368">
        <v>1.2</v>
      </c>
      <c r="AA10" s="369" t="s">
        <v>176</v>
      </c>
      <c r="AB10" s="371">
        <v>501</v>
      </c>
      <c r="AC10" s="369" t="s">
        <v>177</v>
      </c>
      <c r="AD10" s="371">
        <v>600</v>
      </c>
      <c r="AE10" s="665">
        <v>0.3</v>
      </c>
      <c r="AF10" s="665"/>
      <c r="AG10" s="372">
        <v>0.3</v>
      </c>
      <c r="AH10" s="372">
        <v>0</v>
      </c>
      <c r="AI10" s="372">
        <v>0.1</v>
      </c>
      <c r="AJ10" s="372">
        <v>0.2</v>
      </c>
      <c r="AK10" s="373">
        <v>0.2</v>
      </c>
      <c r="AL10" s="374" t="s">
        <v>176</v>
      </c>
      <c r="AM10" s="376">
        <v>601</v>
      </c>
      <c r="AN10" s="374" t="s">
        <v>177</v>
      </c>
      <c r="AO10" s="376">
        <v>700</v>
      </c>
      <c r="AP10" s="667">
        <v>0.1</v>
      </c>
      <c r="AQ10" s="667"/>
      <c r="AR10" s="667">
        <v>0.2</v>
      </c>
      <c r="AS10" s="667"/>
      <c r="AT10" s="377">
        <v>0</v>
      </c>
      <c r="AU10" s="377">
        <v>0.1</v>
      </c>
      <c r="AV10" s="667">
        <v>0.1</v>
      </c>
      <c r="AW10" s="667"/>
      <c r="AX10" s="378">
        <v>0.2</v>
      </c>
      <c r="AY10" s="379" t="s">
        <v>176</v>
      </c>
      <c r="AZ10" s="381">
        <v>601</v>
      </c>
      <c r="BA10" s="379" t="s">
        <v>177</v>
      </c>
      <c r="BB10" s="381">
        <v>700</v>
      </c>
      <c r="BC10" s="669">
        <v>0.2</v>
      </c>
      <c r="BD10" s="669"/>
      <c r="BE10" s="382">
        <v>0.1</v>
      </c>
      <c r="BF10" s="382">
        <v>0</v>
      </c>
      <c r="BG10" s="382">
        <v>0</v>
      </c>
      <c r="BH10" s="669">
        <v>0.1</v>
      </c>
      <c r="BI10" s="669"/>
      <c r="BJ10" s="383">
        <v>0.1</v>
      </c>
      <c r="BK10" s="374" t="s">
        <v>176</v>
      </c>
      <c r="BL10" s="376">
        <v>601</v>
      </c>
      <c r="BM10" s="374" t="s">
        <v>177</v>
      </c>
      <c r="BN10" s="376">
        <v>700</v>
      </c>
      <c r="BO10" s="667">
        <v>0.2</v>
      </c>
      <c r="BP10" s="667"/>
      <c r="BQ10" s="377">
        <v>0.2</v>
      </c>
      <c r="BR10" s="667">
        <v>0</v>
      </c>
      <c r="BS10" s="667"/>
      <c r="BT10" s="377">
        <v>0</v>
      </c>
      <c r="BU10" s="377">
        <v>0.1</v>
      </c>
      <c r="BV10" s="384">
        <v>0.1</v>
      </c>
      <c r="BW10" s="379" t="s">
        <v>176</v>
      </c>
      <c r="BX10" s="381">
        <v>601</v>
      </c>
      <c r="BY10" s="399" t="s">
        <v>177</v>
      </c>
      <c r="BZ10" s="683">
        <v>700</v>
      </c>
      <c r="CA10" s="683"/>
      <c r="CB10" s="669">
        <v>0.3</v>
      </c>
      <c r="CC10" s="669"/>
      <c r="CD10" s="382">
        <v>0.2</v>
      </c>
      <c r="CE10" s="382">
        <v>0</v>
      </c>
      <c r="CF10" s="382">
        <v>0</v>
      </c>
      <c r="CG10" s="382">
        <v>0.2</v>
      </c>
      <c r="CH10" s="383">
        <v>0.1</v>
      </c>
      <c r="CI10" s="350" t="s">
        <v>176</v>
      </c>
      <c r="CJ10" s="309">
        <v>901</v>
      </c>
      <c r="CK10" s="309" t="s">
        <v>177</v>
      </c>
      <c r="CL10" s="385">
        <v>1000</v>
      </c>
      <c r="CM10" s="309">
        <v>0.2</v>
      </c>
      <c r="CN10" s="309">
        <v>0.2</v>
      </c>
      <c r="CO10" s="309">
        <v>0.1</v>
      </c>
      <c r="CP10" s="309">
        <v>0.1</v>
      </c>
      <c r="CQ10" s="309">
        <v>0.1</v>
      </c>
      <c r="CR10" s="309">
        <v>0.2</v>
      </c>
      <c r="CS10" s="306" t="s">
        <v>176</v>
      </c>
      <c r="CT10" s="306">
        <v>901</v>
      </c>
      <c r="CU10" s="306" t="s">
        <v>177</v>
      </c>
      <c r="CV10" s="386">
        <v>1000</v>
      </c>
      <c r="CW10" s="306">
        <v>0.1</v>
      </c>
      <c r="CX10" s="306">
        <v>0.2</v>
      </c>
      <c r="CY10" s="306">
        <v>0.1</v>
      </c>
      <c r="CZ10" s="306">
        <v>0.1</v>
      </c>
      <c r="DA10" s="306">
        <v>0.1</v>
      </c>
      <c r="DB10" s="306">
        <v>0.1</v>
      </c>
      <c r="DC10" s="309" t="s">
        <v>176</v>
      </c>
      <c r="DD10" s="385">
        <v>1201</v>
      </c>
      <c r="DE10" s="309" t="s">
        <v>177</v>
      </c>
      <c r="DF10" s="385">
        <v>1300</v>
      </c>
      <c r="DG10" s="309">
        <v>0.2</v>
      </c>
      <c r="DH10" s="309">
        <v>0.2</v>
      </c>
      <c r="DI10" s="309">
        <v>0.3</v>
      </c>
      <c r="DJ10" s="309">
        <v>0.3</v>
      </c>
      <c r="DK10" s="309">
        <v>0.2</v>
      </c>
      <c r="DL10" s="309">
        <v>0.2</v>
      </c>
      <c r="DM10" s="306" t="s">
        <v>176</v>
      </c>
      <c r="DN10" s="386">
        <v>1201</v>
      </c>
      <c r="DO10" s="306" t="s">
        <v>177</v>
      </c>
      <c r="DP10" s="386">
        <v>1300</v>
      </c>
      <c r="DQ10" s="306">
        <v>0.2</v>
      </c>
      <c r="DR10" s="306">
        <v>0.2</v>
      </c>
      <c r="DS10" s="306">
        <v>0.2</v>
      </c>
      <c r="DT10" s="306">
        <v>0.3</v>
      </c>
      <c r="DU10" s="306">
        <v>0.2</v>
      </c>
      <c r="DV10" s="306">
        <v>0.2</v>
      </c>
      <c r="DW10" s="309" t="s">
        <v>176</v>
      </c>
      <c r="DX10" s="385">
        <v>1201</v>
      </c>
      <c r="DY10" s="309" t="s">
        <v>177</v>
      </c>
      <c r="DZ10" s="385">
        <v>1300</v>
      </c>
      <c r="EA10" s="309">
        <v>0.2</v>
      </c>
      <c r="EB10" s="309">
        <v>0.2</v>
      </c>
      <c r="EC10" s="309">
        <v>0.2</v>
      </c>
      <c r="ED10" s="309">
        <v>0.2</v>
      </c>
      <c r="EE10" s="309">
        <v>0.2</v>
      </c>
      <c r="EF10" s="309">
        <v>0.2</v>
      </c>
      <c r="EG10" s="387" t="s">
        <v>180</v>
      </c>
      <c r="EH10" s="388">
        <v>6.9714786321095207E-2</v>
      </c>
      <c r="EI10" s="389">
        <v>9.9235883695544293E-3</v>
      </c>
      <c r="EJ10" s="390">
        <v>4.2990207786004299E-2</v>
      </c>
      <c r="EK10" s="391">
        <v>4.9672430071568102E-2</v>
      </c>
      <c r="EL10" s="392">
        <v>0.25005254336848798</v>
      </c>
      <c r="EM10" s="393">
        <v>0.114020986024725</v>
      </c>
      <c r="EN10" s="394">
        <v>0.180401933403811</v>
      </c>
      <c r="EO10" s="395">
        <v>0.18850295012659199</v>
      </c>
      <c r="EP10" s="388">
        <v>0.13536339185347801</v>
      </c>
      <c r="EQ10" s="389">
        <v>5.4302248945156902E-2</v>
      </c>
      <c r="ER10" s="390">
        <v>9.7057040153470206E-2</v>
      </c>
      <c r="ES10" s="396">
        <v>0.105032530704183</v>
      </c>
      <c r="ET10" s="309" t="s">
        <v>176</v>
      </c>
      <c r="EU10" s="385">
        <v>1201</v>
      </c>
      <c r="EV10" s="309" t="s">
        <v>177</v>
      </c>
      <c r="EW10" s="385">
        <v>1300</v>
      </c>
      <c r="EX10" s="309">
        <v>0.9</v>
      </c>
      <c r="EY10" s="309">
        <v>0.9</v>
      </c>
      <c r="EZ10" s="309">
        <v>0.9</v>
      </c>
      <c r="FA10" s="309">
        <v>0.3</v>
      </c>
      <c r="FB10" s="309">
        <v>0.2</v>
      </c>
      <c r="FC10" s="309">
        <v>0.1</v>
      </c>
      <c r="FD10" s="309">
        <v>0.1</v>
      </c>
      <c r="FE10" s="309">
        <v>0.2</v>
      </c>
      <c r="FF10" s="309">
        <v>0.6</v>
      </c>
      <c r="FG10" s="309">
        <v>0.6</v>
      </c>
      <c r="FH10" s="309">
        <v>0.6</v>
      </c>
      <c r="FI10" s="309">
        <v>0.2</v>
      </c>
    </row>
    <row r="11" spans="2:165">
      <c r="B11" s="650" t="s">
        <v>176</v>
      </c>
      <c r="C11" s="650">
        <v>501</v>
      </c>
      <c r="D11" s="650"/>
      <c r="E11" s="650" t="s">
        <v>177</v>
      </c>
      <c r="F11" s="650">
        <v>600</v>
      </c>
      <c r="G11" s="400"/>
      <c r="H11" s="400"/>
      <c r="I11" s="647"/>
      <c r="J11" s="645">
        <v>6.1</v>
      </c>
      <c r="K11" s="645">
        <v>5.8</v>
      </c>
      <c r="L11" s="647"/>
      <c r="M11" s="645">
        <v>3.6</v>
      </c>
      <c r="N11" s="645">
        <v>3.6</v>
      </c>
      <c r="O11" s="364" t="s">
        <v>176</v>
      </c>
      <c r="P11" s="366">
        <v>601</v>
      </c>
      <c r="Q11" s="364" t="s">
        <v>177</v>
      </c>
      <c r="R11" s="366">
        <v>700</v>
      </c>
      <c r="S11" s="663">
        <v>1.5</v>
      </c>
      <c r="T11" s="663"/>
      <c r="U11" s="367">
        <v>2</v>
      </c>
      <c r="V11" s="367">
        <v>0.6</v>
      </c>
      <c r="W11" s="367">
        <v>2.6</v>
      </c>
      <c r="X11" s="663">
        <v>1.1000000000000001</v>
      </c>
      <c r="Y11" s="663"/>
      <c r="Z11" s="368">
        <v>2.2999999999999998</v>
      </c>
      <c r="AA11" s="369" t="s">
        <v>176</v>
      </c>
      <c r="AB11" s="371">
        <v>601</v>
      </c>
      <c r="AC11" s="369" t="s">
        <v>177</v>
      </c>
      <c r="AD11" s="371">
        <v>700</v>
      </c>
      <c r="AE11" s="665">
        <v>0.5</v>
      </c>
      <c r="AF11" s="665"/>
      <c r="AG11" s="372">
        <v>1</v>
      </c>
      <c r="AH11" s="372">
        <v>0.1</v>
      </c>
      <c r="AI11" s="372">
        <v>0.3</v>
      </c>
      <c r="AJ11" s="372">
        <v>0.3</v>
      </c>
      <c r="AK11" s="373">
        <v>0.7</v>
      </c>
      <c r="AL11" s="374" t="s">
        <v>176</v>
      </c>
      <c r="AM11" s="376">
        <v>701</v>
      </c>
      <c r="AN11" s="374" t="s">
        <v>177</v>
      </c>
      <c r="AO11" s="376">
        <v>800</v>
      </c>
      <c r="AP11" s="667">
        <v>1</v>
      </c>
      <c r="AQ11" s="667"/>
      <c r="AR11" s="667">
        <v>1</v>
      </c>
      <c r="AS11" s="667"/>
      <c r="AT11" s="377">
        <v>0.1</v>
      </c>
      <c r="AU11" s="377">
        <v>0.2</v>
      </c>
      <c r="AV11" s="667">
        <v>0.6</v>
      </c>
      <c r="AW11" s="667"/>
      <c r="AX11" s="378">
        <v>0.6</v>
      </c>
      <c r="AY11" s="379" t="s">
        <v>176</v>
      </c>
      <c r="AZ11" s="381">
        <v>701</v>
      </c>
      <c r="BA11" s="379" t="s">
        <v>177</v>
      </c>
      <c r="BB11" s="381">
        <v>800</v>
      </c>
      <c r="BC11" s="669">
        <v>0.4</v>
      </c>
      <c r="BD11" s="669"/>
      <c r="BE11" s="382">
        <v>0.5</v>
      </c>
      <c r="BF11" s="382">
        <v>0.1</v>
      </c>
      <c r="BG11" s="382">
        <v>0.1</v>
      </c>
      <c r="BH11" s="669">
        <v>0.3</v>
      </c>
      <c r="BI11" s="669"/>
      <c r="BJ11" s="383">
        <v>0.4</v>
      </c>
      <c r="BK11" s="374" t="s">
        <v>176</v>
      </c>
      <c r="BL11" s="376">
        <v>701</v>
      </c>
      <c r="BM11" s="374" t="s">
        <v>177</v>
      </c>
      <c r="BN11" s="376">
        <v>800</v>
      </c>
      <c r="BO11" s="667">
        <v>0.3</v>
      </c>
      <c r="BP11" s="667"/>
      <c r="BQ11" s="377">
        <v>0.4</v>
      </c>
      <c r="BR11" s="667">
        <v>0.1</v>
      </c>
      <c r="BS11" s="667"/>
      <c r="BT11" s="377">
        <v>0.1</v>
      </c>
      <c r="BU11" s="377">
        <v>0.2</v>
      </c>
      <c r="BV11" s="384">
        <v>0.3</v>
      </c>
      <c r="BW11" s="379" t="s">
        <v>176</v>
      </c>
      <c r="BX11" s="381">
        <v>701</v>
      </c>
      <c r="BY11" s="399" t="s">
        <v>177</v>
      </c>
      <c r="BZ11" s="683">
        <v>800</v>
      </c>
      <c r="CA11" s="683"/>
      <c r="CB11" s="669">
        <v>0.2</v>
      </c>
      <c r="CC11" s="669"/>
      <c r="CD11" s="382">
        <v>0.3</v>
      </c>
      <c r="CE11" s="382">
        <v>0.1</v>
      </c>
      <c r="CF11" s="382">
        <v>0.1</v>
      </c>
      <c r="CG11" s="382">
        <v>0.1</v>
      </c>
      <c r="CH11" s="383">
        <v>0.2</v>
      </c>
      <c r="CI11" s="350" t="s">
        <v>176</v>
      </c>
      <c r="CJ11" s="385">
        <v>1001</v>
      </c>
      <c r="CK11" s="309" t="s">
        <v>177</v>
      </c>
      <c r="CL11" s="385">
        <v>1100</v>
      </c>
      <c r="CM11" s="309">
        <v>0.5</v>
      </c>
      <c r="CN11" s="309">
        <v>0.9</v>
      </c>
      <c r="CO11" s="309">
        <v>0.1</v>
      </c>
      <c r="CP11" s="309">
        <v>0.1</v>
      </c>
      <c r="CQ11" s="309">
        <v>0.4</v>
      </c>
      <c r="CR11" s="309">
        <v>0.6</v>
      </c>
      <c r="CS11" s="306" t="s">
        <v>176</v>
      </c>
      <c r="CT11" s="386">
        <v>1001</v>
      </c>
      <c r="CU11" s="306" t="s">
        <v>177</v>
      </c>
      <c r="CV11" s="386">
        <v>1100</v>
      </c>
      <c r="CW11" s="306">
        <v>0.2</v>
      </c>
      <c r="CX11" s="306">
        <v>0.3</v>
      </c>
      <c r="CY11" s="306">
        <v>0.1</v>
      </c>
      <c r="CZ11" s="306">
        <v>0.1</v>
      </c>
      <c r="DA11" s="306">
        <v>0.2</v>
      </c>
      <c r="DB11" s="306">
        <v>0.2</v>
      </c>
      <c r="DC11" s="309" t="s">
        <v>176</v>
      </c>
      <c r="DD11" s="385">
        <v>1301</v>
      </c>
      <c r="DE11" s="309" t="s">
        <v>177</v>
      </c>
      <c r="DF11" s="385">
        <v>1400</v>
      </c>
      <c r="DG11" s="309">
        <v>0</v>
      </c>
      <c r="DH11" s="309">
        <v>0</v>
      </c>
      <c r="DI11" s="309">
        <v>0.6</v>
      </c>
      <c r="DJ11" s="309">
        <v>0.6</v>
      </c>
      <c r="DK11" s="309">
        <v>0.3</v>
      </c>
      <c r="DL11" s="309">
        <v>0.3</v>
      </c>
      <c r="DM11" s="306" t="s">
        <v>176</v>
      </c>
      <c r="DN11" s="386">
        <v>1301</v>
      </c>
      <c r="DO11" s="306" t="s">
        <v>177</v>
      </c>
      <c r="DP11" s="386">
        <v>1400</v>
      </c>
      <c r="DQ11" s="306">
        <v>0.1</v>
      </c>
      <c r="DR11" s="306">
        <v>0.1</v>
      </c>
      <c r="DS11" s="306">
        <v>0.4</v>
      </c>
      <c r="DT11" s="306">
        <v>0.5</v>
      </c>
      <c r="DU11" s="306">
        <v>0.2</v>
      </c>
      <c r="DV11" s="306">
        <v>0.2</v>
      </c>
      <c r="DW11" s="309" t="s">
        <v>176</v>
      </c>
      <c r="DX11" s="385">
        <v>1301</v>
      </c>
      <c r="DY11" s="309" t="s">
        <v>177</v>
      </c>
      <c r="DZ11" s="385">
        <v>1400</v>
      </c>
      <c r="EA11" s="309">
        <v>0</v>
      </c>
      <c r="EB11" s="309">
        <v>0</v>
      </c>
      <c r="EC11" s="309">
        <v>0.3</v>
      </c>
      <c r="ED11" s="309">
        <v>0.3</v>
      </c>
      <c r="EE11" s="309">
        <v>0.1</v>
      </c>
      <c r="EF11" s="309">
        <v>0.1</v>
      </c>
      <c r="EG11" s="387" t="s">
        <v>181</v>
      </c>
      <c r="EH11" s="388">
        <v>6.7247006274330806E-2</v>
      </c>
      <c r="EI11" s="389">
        <v>8.6258883519973101E-2</v>
      </c>
      <c r="EJ11" s="390">
        <v>7.5744651813436203E-2</v>
      </c>
      <c r="EK11" s="391">
        <v>0.10810888727126</v>
      </c>
      <c r="EL11" s="392">
        <v>0.33358302660580602</v>
      </c>
      <c r="EM11" s="393">
        <v>0.123265930837541</v>
      </c>
      <c r="EN11" s="394">
        <v>0.22589688162372301</v>
      </c>
      <c r="EO11" s="395">
        <v>0.23794884099918501</v>
      </c>
      <c r="EP11" s="388">
        <v>0.16420167968313201</v>
      </c>
      <c r="EQ11" s="389">
        <v>0.1020356774534</v>
      </c>
      <c r="ER11" s="390">
        <v>0.134824438507432</v>
      </c>
      <c r="ES11" s="396">
        <v>0.159884489349845</v>
      </c>
      <c r="ET11" s="309" t="s">
        <v>176</v>
      </c>
      <c r="EU11" s="385">
        <v>1301</v>
      </c>
      <c r="EV11" s="309" t="s">
        <v>177</v>
      </c>
      <c r="EW11" s="385">
        <v>1400</v>
      </c>
      <c r="EX11" s="309">
        <v>0.1</v>
      </c>
      <c r="EY11" s="309">
        <v>0.1</v>
      </c>
      <c r="EZ11" s="309">
        <v>0.1</v>
      </c>
      <c r="FA11" s="309">
        <v>0.1</v>
      </c>
      <c r="FB11" s="309">
        <v>0.3</v>
      </c>
      <c r="FC11" s="309">
        <v>0.1</v>
      </c>
      <c r="FD11" s="309">
        <v>0.2</v>
      </c>
      <c r="FE11" s="309">
        <v>0.2</v>
      </c>
      <c r="FF11" s="309">
        <v>0.1</v>
      </c>
      <c r="FG11" s="309">
        <v>0.1</v>
      </c>
      <c r="FH11" s="309">
        <v>0.1</v>
      </c>
      <c r="FI11" s="309">
        <v>0.1</v>
      </c>
    </row>
    <row r="12" spans="2:165">
      <c r="B12" s="650"/>
      <c r="C12" s="650"/>
      <c r="D12" s="650"/>
      <c r="E12" s="650"/>
      <c r="F12" s="650"/>
      <c r="G12" s="363">
        <v>1.7</v>
      </c>
      <c r="H12" s="363">
        <v>1.8</v>
      </c>
      <c r="I12" s="647"/>
      <c r="J12" s="645"/>
      <c r="K12" s="645"/>
      <c r="L12" s="647"/>
      <c r="M12" s="645"/>
      <c r="N12" s="645"/>
      <c r="O12" s="364" t="s">
        <v>176</v>
      </c>
      <c r="P12" s="366">
        <v>701</v>
      </c>
      <c r="Q12" s="364" t="s">
        <v>177</v>
      </c>
      <c r="R12" s="366">
        <v>800</v>
      </c>
      <c r="S12" s="663">
        <v>3</v>
      </c>
      <c r="T12" s="663"/>
      <c r="U12" s="367">
        <v>3.4</v>
      </c>
      <c r="V12" s="367">
        <v>8.1</v>
      </c>
      <c r="W12" s="367">
        <v>6.2</v>
      </c>
      <c r="X12" s="663">
        <v>5.2</v>
      </c>
      <c r="Y12" s="663"/>
      <c r="Z12" s="368">
        <v>4.7</v>
      </c>
      <c r="AA12" s="369" t="s">
        <v>176</v>
      </c>
      <c r="AB12" s="371">
        <v>701</v>
      </c>
      <c r="AC12" s="369" t="s">
        <v>177</v>
      </c>
      <c r="AD12" s="371">
        <v>800</v>
      </c>
      <c r="AE12" s="665">
        <v>0.8</v>
      </c>
      <c r="AF12" s="665"/>
      <c r="AG12" s="372">
        <v>1.9</v>
      </c>
      <c r="AH12" s="372">
        <v>0.3</v>
      </c>
      <c r="AI12" s="372">
        <v>3.6</v>
      </c>
      <c r="AJ12" s="372">
        <v>0.6</v>
      </c>
      <c r="AK12" s="373">
        <v>2.6</v>
      </c>
      <c r="AL12" s="374" t="s">
        <v>176</v>
      </c>
      <c r="AM12" s="376">
        <v>801</v>
      </c>
      <c r="AN12" s="374" t="s">
        <v>177</v>
      </c>
      <c r="AO12" s="376">
        <v>900</v>
      </c>
      <c r="AP12" s="667">
        <v>0.6</v>
      </c>
      <c r="AQ12" s="667"/>
      <c r="AR12" s="667">
        <v>0.8</v>
      </c>
      <c r="AS12" s="667"/>
      <c r="AT12" s="377">
        <v>0.2</v>
      </c>
      <c r="AU12" s="377">
        <v>1.1000000000000001</v>
      </c>
      <c r="AV12" s="667">
        <v>0.4</v>
      </c>
      <c r="AW12" s="667"/>
      <c r="AX12" s="378">
        <v>1</v>
      </c>
      <c r="AY12" s="379" t="s">
        <v>176</v>
      </c>
      <c r="AZ12" s="381">
        <v>801</v>
      </c>
      <c r="BA12" s="379" t="s">
        <v>177</v>
      </c>
      <c r="BB12" s="381">
        <v>900</v>
      </c>
      <c r="BC12" s="669">
        <v>0</v>
      </c>
      <c r="BD12" s="669"/>
      <c r="BE12" s="382">
        <v>0.2</v>
      </c>
      <c r="BF12" s="382">
        <v>0.1</v>
      </c>
      <c r="BG12" s="382">
        <v>0.1</v>
      </c>
      <c r="BH12" s="669">
        <v>0.1</v>
      </c>
      <c r="BI12" s="669"/>
      <c r="BJ12" s="383">
        <v>0.2</v>
      </c>
      <c r="BK12" s="374" t="s">
        <v>176</v>
      </c>
      <c r="BL12" s="376">
        <v>801</v>
      </c>
      <c r="BM12" s="374" t="s">
        <v>177</v>
      </c>
      <c r="BN12" s="376">
        <v>900</v>
      </c>
      <c r="BO12" s="667">
        <v>0.2</v>
      </c>
      <c r="BP12" s="667"/>
      <c r="BQ12" s="377">
        <v>0.1</v>
      </c>
      <c r="BR12" s="667">
        <v>0.1</v>
      </c>
      <c r="BS12" s="667"/>
      <c r="BT12" s="377">
        <v>0.1</v>
      </c>
      <c r="BU12" s="377">
        <v>0.2</v>
      </c>
      <c r="BV12" s="384">
        <v>0.1</v>
      </c>
      <c r="BW12" s="379" t="s">
        <v>176</v>
      </c>
      <c r="BX12" s="381">
        <v>801</v>
      </c>
      <c r="BY12" s="399" t="s">
        <v>177</v>
      </c>
      <c r="BZ12" s="683">
        <v>900</v>
      </c>
      <c r="CA12" s="683"/>
      <c r="CB12" s="669">
        <v>0.2</v>
      </c>
      <c r="CC12" s="669"/>
      <c r="CD12" s="382">
        <v>0.2</v>
      </c>
      <c r="CE12" s="382">
        <v>0.1</v>
      </c>
      <c r="CF12" s="382">
        <v>0.1</v>
      </c>
      <c r="CG12" s="382">
        <v>0.1</v>
      </c>
      <c r="CH12" s="383">
        <v>0.2</v>
      </c>
      <c r="CI12" s="350" t="s">
        <v>176</v>
      </c>
      <c r="CJ12" s="385">
        <v>1101</v>
      </c>
      <c r="CK12" s="309" t="s">
        <v>177</v>
      </c>
      <c r="CL12" s="385">
        <v>1200</v>
      </c>
      <c r="CM12" s="309">
        <v>0.1</v>
      </c>
      <c r="CN12" s="309">
        <v>0.4</v>
      </c>
      <c r="CO12" s="309">
        <v>0.2</v>
      </c>
      <c r="CP12" s="309">
        <v>0.2</v>
      </c>
      <c r="CQ12" s="309">
        <v>0.1</v>
      </c>
      <c r="CR12" s="309">
        <v>0.3</v>
      </c>
      <c r="CS12" s="306" t="s">
        <v>176</v>
      </c>
      <c r="CT12" s="386">
        <v>1101</v>
      </c>
      <c r="CU12" s="306" t="s">
        <v>177</v>
      </c>
      <c r="CV12" s="386">
        <v>1200</v>
      </c>
      <c r="CW12" s="306">
        <v>0</v>
      </c>
      <c r="CX12" s="306">
        <v>0</v>
      </c>
      <c r="CY12" s="306">
        <v>0.2</v>
      </c>
      <c r="CZ12" s="306">
        <v>0.2</v>
      </c>
      <c r="DA12" s="306">
        <v>0.1</v>
      </c>
      <c r="DB12" s="306">
        <v>0.1</v>
      </c>
      <c r="DC12" s="309" t="s">
        <v>176</v>
      </c>
      <c r="DD12" s="385">
        <v>1401</v>
      </c>
      <c r="DE12" s="309" t="s">
        <v>177</v>
      </c>
      <c r="DF12" s="385">
        <v>1500</v>
      </c>
      <c r="DG12" s="309">
        <v>0.1</v>
      </c>
      <c r="DH12" s="309">
        <v>0.1</v>
      </c>
      <c r="DI12" s="309">
        <v>0.6</v>
      </c>
      <c r="DJ12" s="309">
        <v>0.7</v>
      </c>
      <c r="DK12" s="309">
        <v>0.3</v>
      </c>
      <c r="DL12" s="309">
        <v>0.3</v>
      </c>
      <c r="DM12" s="306" t="s">
        <v>176</v>
      </c>
      <c r="DN12" s="386">
        <v>1401</v>
      </c>
      <c r="DO12" s="306" t="s">
        <v>177</v>
      </c>
      <c r="DP12" s="386">
        <v>1500</v>
      </c>
      <c r="DQ12" s="306">
        <v>0.1</v>
      </c>
      <c r="DR12" s="306">
        <v>0.1</v>
      </c>
      <c r="DS12" s="306">
        <v>0.5</v>
      </c>
      <c r="DT12" s="306">
        <v>0.5</v>
      </c>
      <c r="DU12" s="306">
        <v>0.2</v>
      </c>
      <c r="DV12" s="306">
        <v>0.3</v>
      </c>
      <c r="DW12" s="309" t="s">
        <v>176</v>
      </c>
      <c r="DX12" s="385">
        <v>1401</v>
      </c>
      <c r="DY12" s="309" t="s">
        <v>177</v>
      </c>
      <c r="DZ12" s="385">
        <v>1500</v>
      </c>
      <c r="EA12" s="309">
        <v>0</v>
      </c>
      <c r="EB12" s="309">
        <v>0</v>
      </c>
      <c r="EC12" s="309">
        <v>0.4</v>
      </c>
      <c r="ED12" s="309">
        <v>0.4</v>
      </c>
      <c r="EE12" s="309">
        <v>0.2</v>
      </c>
      <c r="EF12" s="309">
        <v>0.2</v>
      </c>
      <c r="EG12" s="387" t="s">
        <v>182</v>
      </c>
      <c r="EH12" s="388">
        <v>3.4548920654701998E-2</v>
      </c>
      <c r="EI12" s="389">
        <v>1.4885382554331601E-2</v>
      </c>
      <c r="EJ12" s="390">
        <v>2.5760005459074E-2</v>
      </c>
      <c r="EK12" s="391">
        <v>3.23173500349552E-2</v>
      </c>
      <c r="EL12" s="392">
        <v>0.42088585424739</v>
      </c>
      <c r="EM12" s="393">
        <v>0.20698404219803701</v>
      </c>
      <c r="EN12" s="394">
        <v>0.31136426989812299</v>
      </c>
      <c r="EO12" s="395">
        <v>0.315736464486222</v>
      </c>
      <c r="EP12" s="388">
        <v>0.175187694094429</v>
      </c>
      <c r="EQ12" s="389">
        <v>9.6780621103868397E-2</v>
      </c>
      <c r="ER12" s="390">
        <v>0.13813555288366999</v>
      </c>
      <c r="ES12" s="396">
        <v>0.145332990129421</v>
      </c>
      <c r="ET12" s="309" t="s">
        <v>176</v>
      </c>
      <c r="EU12" s="385">
        <v>1401</v>
      </c>
      <c r="EV12" s="309" t="s">
        <v>177</v>
      </c>
      <c r="EW12" s="385">
        <v>1500</v>
      </c>
      <c r="EX12" s="309">
        <v>0</v>
      </c>
      <c r="EY12" s="309">
        <v>0</v>
      </c>
      <c r="EZ12" s="309">
        <v>0</v>
      </c>
      <c r="FA12" s="309">
        <v>0</v>
      </c>
      <c r="FB12" s="309">
        <v>0.3</v>
      </c>
      <c r="FC12" s="309">
        <v>0.2</v>
      </c>
      <c r="FD12" s="309">
        <v>0.2</v>
      </c>
      <c r="FE12" s="309">
        <v>0.3</v>
      </c>
      <c r="FF12" s="309">
        <v>0.1</v>
      </c>
      <c r="FG12" s="309">
        <v>0.1</v>
      </c>
      <c r="FH12" s="309">
        <v>0.1</v>
      </c>
      <c r="FI12" s="309">
        <v>0.1</v>
      </c>
    </row>
    <row r="13" spans="2:165">
      <c r="B13" s="650" t="s">
        <v>176</v>
      </c>
      <c r="C13" s="650">
        <v>601</v>
      </c>
      <c r="D13" s="650"/>
      <c r="E13" s="650" t="s">
        <v>177</v>
      </c>
      <c r="F13" s="650">
        <v>700</v>
      </c>
      <c r="G13" s="400"/>
      <c r="H13" s="400"/>
      <c r="I13" s="647"/>
      <c r="J13" s="645">
        <v>2.9</v>
      </c>
      <c r="K13" s="645">
        <v>3</v>
      </c>
      <c r="L13" s="647"/>
      <c r="M13" s="645">
        <v>3</v>
      </c>
      <c r="N13" s="645">
        <v>3.1</v>
      </c>
      <c r="O13" s="364" t="s">
        <v>176</v>
      </c>
      <c r="P13" s="366">
        <v>801</v>
      </c>
      <c r="Q13" s="364" t="s">
        <v>177</v>
      </c>
      <c r="R13" s="366">
        <v>900</v>
      </c>
      <c r="S13" s="663">
        <v>3.4</v>
      </c>
      <c r="T13" s="663"/>
      <c r="U13" s="367">
        <v>3.2</v>
      </c>
      <c r="V13" s="367">
        <v>3.4</v>
      </c>
      <c r="W13" s="367">
        <v>3.8</v>
      </c>
      <c r="X13" s="663">
        <v>3.4</v>
      </c>
      <c r="Y13" s="663"/>
      <c r="Z13" s="368">
        <v>3.5</v>
      </c>
      <c r="AA13" s="369" t="s">
        <v>176</v>
      </c>
      <c r="AB13" s="371">
        <v>801</v>
      </c>
      <c r="AC13" s="369" t="s">
        <v>177</v>
      </c>
      <c r="AD13" s="371">
        <v>900</v>
      </c>
      <c r="AE13" s="665">
        <v>1.3</v>
      </c>
      <c r="AF13" s="665"/>
      <c r="AG13" s="372">
        <v>2.8</v>
      </c>
      <c r="AH13" s="372">
        <v>3</v>
      </c>
      <c r="AI13" s="372">
        <v>3.7</v>
      </c>
      <c r="AJ13" s="372">
        <v>2.1</v>
      </c>
      <c r="AK13" s="373">
        <v>3.2</v>
      </c>
      <c r="AL13" s="374" t="s">
        <v>176</v>
      </c>
      <c r="AM13" s="376">
        <v>901</v>
      </c>
      <c r="AN13" s="374" t="s">
        <v>177</v>
      </c>
      <c r="AO13" s="401">
        <v>1000</v>
      </c>
      <c r="AP13" s="667">
        <v>0.7</v>
      </c>
      <c r="AQ13" s="667"/>
      <c r="AR13" s="667">
        <v>1.4</v>
      </c>
      <c r="AS13" s="667"/>
      <c r="AT13" s="377">
        <v>2.2999999999999998</v>
      </c>
      <c r="AU13" s="377">
        <v>3.3</v>
      </c>
      <c r="AV13" s="667">
        <v>1.3</v>
      </c>
      <c r="AW13" s="667"/>
      <c r="AX13" s="378">
        <v>2.2000000000000002</v>
      </c>
      <c r="AY13" s="379" t="s">
        <v>176</v>
      </c>
      <c r="AZ13" s="381">
        <v>901</v>
      </c>
      <c r="BA13" s="379" t="s">
        <v>177</v>
      </c>
      <c r="BB13" s="402">
        <v>1000</v>
      </c>
      <c r="BC13" s="669">
        <v>1.3</v>
      </c>
      <c r="BD13" s="669"/>
      <c r="BE13" s="382">
        <v>1.1000000000000001</v>
      </c>
      <c r="BF13" s="382">
        <v>0.2</v>
      </c>
      <c r="BG13" s="382">
        <v>0.7</v>
      </c>
      <c r="BH13" s="669">
        <v>0.8</v>
      </c>
      <c r="BI13" s="669"/>
      <c r="BJ13" s="383">
        <v>0.9</v>
      </c>
      <c r="BK13" s="374" t="s">
        <v>176</v>
      </c>
      <c r="BL13" s="376">
        <v>901</v>
      </c>
      <c r="BM13" s="374" t="s">
        <v>177</v>
      </c>
      <c r="BN13" s="401">
        <v>1000</v>
      </c>
      <c r="BO13" s="667">
        <v>1.1000000000000001</v>
      </c>
      <c r="BP13" s="667"/>
      <c r="BQ13" s="377">
        <v>1</v>
      </c>
      <c r="BR13" s="667">
        <v>0.2</v>
      </c>
      <c r="BS13" s="667"/>
      <c r="BT13" s="377">
        <v>0.2</v>
      </c>
      <c r="BU13" s="377">
        <v>0.7</v>
      </c>
      <c r="BV13" s="384">
        <v>0.6</v>
      </c>
      <c r="BW13" s="379" t="s">
        <v>176</v>
      </c>
      <c r="BX13" s="381">
        <v>901</v>
      </c>
      <c r="BY13" s="399" t="s">
        <v>177</v>
      </c>
      <c r="BZ13" s="677">
        <v>1000</v>
      </c>
      <c r="CA13" s="677"/>
      <c r="CB13" s="669">
        <v>0.3</v>
      </c>
      <c r="CC13" s="669"/>
      <c r="CD13" s="382">
        <v>0.4</v>
      </c>
      <c r="CE13" s="382">
        <v>0.1</v>
      </c>
      <c r="CF13" s="382">
        <v>0.2</v>
      </c>
      <c r="CG13" s="382">
        <v>0.2</v>
      </c>
      <c r="CH13" s="383">
        <v>0.3</v>
      </c>
      <c r="CI13" s="350" t="s">
        <v>176</v>
      </c>
      <c r="CJ13" s="385">
        <v>1201</v>
      </c>
      <c r="CK13" s="309" t="s">
        <v>177</v>
      </c>
      <c r="CL13" s="385">
        <v>1300</v>
      </c>
      <c r="CM13" s="309">
        <v>0.2</v>
      </c>
      <c r="CN13" s="309">
        <v>0.4</v>
      </c>
      <c r="CO13" s="309">
        <v>0.3</v>
      </c>
      <c r="CP13" s="309">
        <v>0.3</v>
      </c>
      <c r="CQ13" s="309">
        <v>0.2</v>
      </c>
      <c r="CR13" s="309">
        <v>0.4</v>
      </c>
      <c r="CS13" s="306" t="s">
        <v>176</v>
      </c>
      <c r="CT13" s="386">
        <v>1201</v>
      </c>
      <c r="CU13" s="306" t="s">
        <v>177</v>
      </c>
      <c r="CV13" s="386">
        <v>1300</v>
      </c>
      <c r="CW13" s="306">
        <v>0.2</v>
      </c>
      <c r="CX13" s="306">
        <v>0.2</v>
      </c>
      <c r="CY13" s="306">
        <v>0.3</v>
      </c>
      <c r="CZ13" s="306">
        <v>0.3</v>
      </c>
      <c r="DA13" s="306">
        <v>0.2</v>
      </c>
      <c r="DB13" s="306">
        <v>0.2</v>
      </c>
      <c r="DC13" s="309" t="s">
        <v>176</v>
      </c>
      <c r="DD13" s="385">
        <v>1501</v>
      </c>
      <c r="DE13" s="309" t="s">
        <v>177</v>
      </c>
      <c r="DF13" s="385">
        <v>2000</v>
      </c>
      <c r="DG13" s="309">
        <v>2.8</v>
      </c>
      <c r="DH13" s="309">
        <v>2.8</v>
      </c>
      <c r="DI13" s="309">
        <v>4.0999999999999996</v>
      </c>
      <c r="DJ13" s="309">
        <v>4.7</v>
      </c>
      <c r="DK13" s="309">
        <v>3.3</v>
      </c>
      <c r="DL13" s="309">
        <v>3.6</v>
      </c>
      <c r="DM13" s="306" t="s">
        <v>176</v>
      </c>
      <c r="DN13" s="386">
        <v>1501</v>
      </c>
      <c r="DO13" s="306" t="s">
        <v>177</v>
      </c>
      <c r="DP13" s="386">
        <v>2000</v>
      </c>
      <c r="DQ13" s="306">
        <v>2.5</v>
      </c>
      <c r="DR13" s="306">
        <v>2.6</v>
      </c>
      <c r="DS13" s="306">
        <v>3.2</v>
      </c>
      <c r="DT13" s="306">
        <v>3.7</v>
      </c>
      <c r="DU13" s="306">
        <v>2.8</v>
      </c>
      <c r="DV13" s="306">
        <v>3</v>
      </c>
      <c r="DW13" s="309" t="s">
        <v>176</v>
      </c>
      <c r="DX13" s="385">
        <v>1501</v>
      </c>
      <c r="DY13" s="309" t="s">
        <v>177</v>
      </c>
      <c r="DZ13" s="385">
        <v>2000</v>
      </c>
      <c r="EA13" s="309">
        <v>0.1</v>
      </c>
      <c r="EB13" s="309">
        <v>1.6</v>
      </c>
      <c r="EC13" s="309">
        <v>2.4</v>
      </c>
      <c r="ED13" s="309">
        <v>2.6</v>
      </c>
      <c r="EE13" s="309">
        <v>1.9</v>
      </c>
      <c r="EF13" s="309">
        <v>2.1</v>
      </c>
      <c r="EG13" s="387" t="s">
        <v>183</v>
      </c>
      <c r="EH13" s="388">
        <v>0.76686264953204697</v>
      </c>
      <c r="EI13" s="389">
        <v>0.99732063114021996</v>
      </c>
      <c r="EJ13" s="390">
        <v>0.86986932341601597</v>
      </c>
      <c r="EK13" s="391">
        <v>1.0072721244837799</v>
      </c>
      <c r="EL13" s="392">
        <v>2.4385512041862198</v>
      </c>
      <c r="EM13" s="393">
        <v>1.58858968366881</v>
      </c>
      <c r="EN13" s="394">
        <v>2.0033555811519399</v>
      </c>
      <c r="EO13" s="395">
        <v>2.04699467875276</v>
      </c>
      <c r="EP13" s="388">
        <v>1.3754097685286</v>
      </c>
      <c r="EQ13" s="389">
        <v>1.2493896471010699</v>
      </c>
      <c r="ER13" s="390">
        <v>1.31585754758175</v>
      </c>
      <c r="ES13" s="396">
        <v>1.42187820941159</v>
      </c>
      <c r="ET13" s="309" t="s">
        <v>176</v>
      </c>
      <c r="EU13" s="385">
        <v>1501</v>
      </c>
      <c r="EV13" s="309" t="s">
        <v>177</v>
      </c>
      <c r="EW13" s="385">
        <v>2000</v>
      </c>
      <c r="EX13" s="309">
        <v>0.5</v>
      </c>
      <c r="EY13" s="309">
        <v>0.8</v>
      </c>
      <c r="EZ13" s="309">
        <v>0.6</v>
      </c>
      <c r="FA13" s="309">
        <v>0.7</v>
      </c>
      <c r="FB13" s="309">
        <v>2.2000000000000002</v>
      </c>
      <c r="FC13" s="309">
        <v>1.3</v>
      </c>
      <c r="FD13" s="309">
        <v>1.7</v>
      </c>
      <c r="FE13" s="309">
        <v>1.8</v>
      </c>
      <c r="FF13" s="309">
        <v>1.1000000000000001</v>
      </c>
      <c r="FG13" s="309">
        <v>1</v>
      </c>
      <c r="FH13" s="309">
        <v>1.1000000000000001</v>
      </c>
      <c r="FI13" s="309">
        <v>1.2</v>
      </c>
    </row>
    <row r="14" spans="2:165">
      <c r="B14" s="650"/>
      <c r="C14" s="650"/>
      <c r="D14" s="650"/>
      <c r="E14" s="650"/>
      <c r="F14" s="650"/>
      <c r="G14" s="363">
        <v>3.2</v>
      </c>
      <c r="H14" s="363">
        <v>3.3</v>
      </c>
      <c r="I14" s="647"/>
      <c r="J14" s="645"/>
      <c r="K14" s="645"/>
      <c r="L14" s="647"/>
      <c r="M14" s="645"/>
      <c r="N14" s="645"/>
      <c r="O14" s="364" t="s">
        <v>176</v>
      </c>
      <c r="P14" s="366">
        <v>901</v>
      </c>
      <c r="Q14" s="364" t="s">
        <v>177</v>
      </c>
      <c r="R14" s="403">
        <v>1000</v>
      </c>
      <c r="S14" s="663">
        <v>2.6</v>
      </c>
      <c r="T14" s="663"/>
      <c r="U14" s="367">
        <v>2.8</v>
      </c>
      <c r="V14" s="367">
        <v>4.5999999999999996</v>
      </c>
      <c r="W14" s="367">
        <v>5.3</v>
      </c>
      <c r="X14" s="663">
        <v>3.5</v>
      </c>
      <c r="Y14" s="663"/>
      <c r="Z14" s="368">
        <v>3.9</v>
      </c>
      <c r="AA14" s="369" t="s">
        <v>176</v>
      </c>
      <c r="AB14" s="371">
        <v>901</v>
      </c>
      <c r="AC14" s="369" t="s">
        <v>177</v>
      </c>
      <c r="AD14" s="404">
        <v>1000</v>
      </c>
      <c r="AE14" s="682">
        <v>2.9</v>
      </c>
      <c r="AF14" s="682"/>
      <c r="AG14" s="405">
        <v>2.8</v>
      </c>
      <c r="AH14" s="372">
        <v>5.3</v>
      </c>
      <c r="AI14" s="372">
        <v>5</v>
      </c>
      <c r="AJ14" s="372">
        <v>4</v>
      </c>
      <c r="AK14" s="373">
        <v>3.8</v>
      </c>
      <c r="AL14" s="374" t="s">
        <v>176</v>
      </c>
      <c r="AM14" s="401">
        <v>1001</v>
      </c>
      <c r="AN14" s="374" t="s">
        <v>177</v>
      </c>
      <c r="AO14" s="401">
        <v>1100</v>
      </c>
      <c r="AP14" s="667">
        <v>1.6</v>
      </c>
      <c r="AQ14" s="667"/>
      <c r="AR14" s="667">
        <v>2.1</v>
      </c>
      <c r="AS14" s="667"/>
      <c r="AT14" s="377">
        <v>6.5</v>
      </c>
      <c r="AU14" s="377">
        <v>5.8</v>
      </c>
      <c r="AV14" s="667">
        <v>3.7</v>
      </c>
      <c r="AW14" s="667"/>
      <c r="AX14" s="378">
        <v>3.7</v>
      </c>
      <c r="AY14" s="379" t="s">
        <v>176</v>
      </c>
      <c r="AZ14" s="402">
        <v>1001</v>
      </c>
      <c r="BA14" s="379" t="s">
        <v>177</v>
      </c>
      <c r="BB14" s="402">
        <v>1100</v>
      </c>
      <c r="BC14" s="669">
        <v>0.4</v>
      </c>
      <c r="BD14" s="669"/>
      <c r="BE14" s="382">
        <v>0.8</v>
      </c>
      <c r="BF14" s="382">
        <v>0.3</v>
      </c>
      <c r="BG14" s="382">
        <v>2.1</v>
      </c>
      <c r="BH14" s="669">
        <v>0.4</v>
      </c>
      <c r="BI14" s="669"/>
      <c r="BJ14" s="383">
        <v>1.3</v>
      </c>
      <c r="BK14" s="374" t="s">
        <v>176</v>
      </c>
      <c r="BL14" s="401">
        <v>1001</v>
      </c>
      <c r="BM14" s="374" t="s">
        <v>177</v>
      </c>
      <c r="BN14" s="401">
        <v>1100</v>
      </c>
      <c r="BO14" s="667">
        <v>0.6</v>
      </c>
      <c r="BP14" s="667"/>
      <c r="BQ14" s="377">
        <v>0.5</v>
      </c>
      <c r="BR14" s="667">
        <v>0.2</v>
      </c>
      <c r="BS14" s="667"/>
      <c r="BT14" s="377">
        <v>0.2</v>
      </c>
      <c r="BU14" s="377">
        <v>0.5</v>
      </c>
      <c r="BV14" s="384">
        <v>0.4</v>
      </c>
      <c r="BW14" s="379" t="s">
        <v>176</v>
      </c>
      <c r="BX14" s="402">
        <v>1001</v>
      </c>
      <c r="BY14" s="379" t="s">
        <v>177</v>
      </c>
      <c r="BZ14" s="677">
        <v>1100</v>
      </c>
      <c r="CA14" s="677"/>
      <c r="CB14" s="669">
        <v>1.3</v>
      </c>
      <c r="CC14" s="669"/>
      <c r="CD14" s="382">
        <v>1.2</v>
      </c>
      <c r="CE14" s="382">
        <v>0.2</v>
      </c>
      <c r="CF14" s="382">
        <v>0.2</v>
      </c>
      <c r="CG14" s="382">
        <v>0.8</v>
      </c>
      <c r="CH14" s="383">
        <v>0.8</v>
      </c>
      <c r="CI14" s="350" t="s">
        <v>176</v>
      </c>
      <c r="CJ14" s="385">
        <v>1301</v>
      </c>
      <c r="CK14" s="309" t="s">
        <v>177</v>
      </c>
      <c r="CL14" s="385">
        <v>1400</v>
      </c>
      <c r="CM14" s="309">
        <v>0.1</v>
      </c>
      <c r="CN14" s="309">
        <v>0.5</v>
      </c>
      <c r="CO14" s="309">
        <v>0.8</v>
      </c>
      <c r="CP14" s="309">
        <v>0.9</v>
      </c>
      <c r="CQ14" s="309">
        <v>0.4</v>
      </c>
      <c r="CR14" s="309">
        <v>0.6</v>
      </c>
      <c r="CS14" s="306" t="s">
        <v>176</v>
      </c>
      <c r="CT14" s="386">
        <v>1301</v>
      </c>
      <c r="CU14" s="306" t="s">
        <v>177</v>
      </c>
      <c r="CV14" s="386">
        <v>1400</v>
      </c>
      <c r="CW14" s="306">
        <v>0</v>
      </c>
      <c r="CX14" s="306">
        <v>0.1</v>
      </c>
      <c r="CY14" s="306">
        <v>0.8</v>
      </c>
      <c r="CZ14" s="306">
        <v>0.8</v>
      </c>
      <c r="DA14" s="306">
        <v>0.3</v>
      </c>
      <c r="DB14" s="306">
        <v>0.3</v>
      </c>
      <c r="DC14" s="309" t="s">
        <v>176</v>
      </c>
      <c r="DD14" s="385">
        <v>2001</v>
      </c>
      <c r="DE14" s="309" t="s">
        <v>177</v>
      </c>
      <c r="DF14" s="385">
        <v>2500</v>
      </c>
      <c r="DG14" s="309">
        <v>7.5</v>
      </c>
      <c r="DH14" s="309">
        <v>7.6</v>
      </c>
      <c r="DI14" s="309">
        <v>7.5</v>
      </c>
      <c r="DJ14" s="309">
        <v>9</v>
      </c>
      <c r="DK14" s="309">
        <v>7.5</v>
      </c>
      <c r="DL14" s="309">
        <v>8.1999999999999993</v>
      </c>
      <c r="DM14" s="306" t="s">
        <v>176</v>
      </c>
      <c r="DN14" s="386">
        <v>2001</v>
      </c>
      <c r="DO14" s="306" t="s">
        <v>177</v>
      </c>
      <c r="DP14" s="386">
        <v>2500</v>
      </c>
      <c r="DQ14" s="306">
        <v>6.3</v>
      </c>
      <c r="DR14" s="306">
        <v>6.9</v>
      </c>
      <c r="DS14" s="306">
        <v>6</v>
      </c>
      <c r="DT14" s="306">
        <v>6.7</v>
      </c>
      <c r="DU14" s="306">
        <v>6.2</v>
      </c>
      <c r="DV14" s="306">
        <v>6.8</v>
      </c>
      <c r="DW14" s="309" t="s">
        <v>176</v>
      </c>
      <c r="DX14" s="385">
        <v>2001</v>
      </c>
      <c r="DY14" s="309" t="s">
        <v>177</v>
      </c>
      <c r="DZ14" s="385">
        <v>2500</v>
      </c>
      <c r="EA14" s="309">
        <v>3.7</v>
      </c>
      <c r="EB14" s="309">
        <v>4.0999999999999996</v>
      </c>
      <c r="EC14" s="309">
        <v>4.4000000000000004</v>
      </c>
      <c r="ED14" s="309">
        <v>4.7</v>
      </c>
      <c r="EE14" s="309">
        <v>4</v>
      </c>
      <c r="EF14" s="309">
        <v>4.3</v>
      </c>
      <c r="EG14" s="387" t="s">
        <v>184</v>
      </c>
      <c r="EH14" s="388">
        <v>3.1248264842154598</v>
      </c>
      <c r="EI14" s="389">
        <v>3.3270738391310002</v>
      </c>
      <c r="EJ14" s="390">
        <v>3.2152239926302499</v>
      </c>
      <c r="EK14" s="391">
        <v>3.0923610260254102</v>
      </c>
      <c r="EL14" s="392">
        <v>3.8310851957038401</v>
      </c>
      <c r="EM14" s="393">
        <v>3.3744048566776699</v>
      </c>
      <c r="EN14" s="394">
        <v>3.5972566283246801</v>
      </c>
      <c r="EO14" s="395">
        <v>3.6663204367582698</v>
      </c>
      <c r="EP14" s="388">
        <v>3.3819268292204399</v>
      </c>
      <c r="EQ14" s="389">
        <v>3.3472519339702198</v>
      </c>
      <c r="ER14" s="390">
        <v>3.3655408187972</v>
      </c>
      <c r="ES14" s="396">
        <v>3.3212605290366999</v>
      </c>
      <c r="ET14" s="309" t="s">
        <v>176</v>
      </c>
      <c r="EU14" s="385">
        <v>2001</v>
      </c>
      <c r="EV14" s="309" t="s">
        <v>177</v>
      </c>
      <c r="EW14" s="385">
        <v>2500</v>
      </c>
      <c r="EX14" s="309">
        <v>2.7</v>
      </c>
      <c r="EY14" s="309">
        <v>2.7</v>
      </c>
      <c r="EZ14" s="309">
        <v>2.7</v>
      </c>
      <c r="FA14" s="309">
        <v>2.8</v>
      </c>
      <c r="FB14" s="309">
        <v>3</v>
      </c>
      <c r="FC14" s="309">
        <v>2.5</v>
      </c>
      <c r="FD14" s="309">
        <v>2.7</v>
      </c>
      <c r="FE14" s="309">
        <v>3</v>
      </c>
      <c r="FF14" s="309">
        <v>2.8</v>
      </c>
      <c r="FG14" s="309">
        <v>2.6</v>
      </c>
      <c r="FH14" s="309">
        <v>2.7</v>
      </c>
      <c r="FI14" s="309">
        <v>2.9</v>
      </c>
    </row>
    <row r="15" spans="2:165">
      <c r="B15" s="650" t="s">
        <v>176</v>
      </c>
      <c r="C15" s="650">
        <v>701</v>
      </c>
      <c r="D15" s="650"/>
      <c r="E15" s="650" t="s">
        <v>177</v>
      </c>
      <c r="F15" s="650">
        <v>800</v>
      </c>
      <c r="G15" s="400"/>
      <c r="H15" s="400"/>
      <c r="I15" s="647"/>
      <c r="J15" s="645">
        <v>3.8</v>
      </c>
      <c r="K15" s="645">
        <v>3.7</v>
      </c>
      <c r="L15" s="647"/>
      <c r="M15" s="645">
        <v>3.4</v>
      </c>
      <c r="N15" s="645">
        <v>3.6</v>
      </c>
      <c r="O15" s="364" t="s">
        <v>176</v>
      </c>
      <c r="P15" s="403">
        <v>1001</v>
      </c>
      <c r="Q15" s="364" t="s">
        <v>177</v>
      </c>
      <c r="R15" s="403">
        <v>1100</v>
      </c>
      <c r="S15" s="681">
        <v>2.7</v>
      </c>
      <c r="T15" s="681"/>
      <c r="U15" s="406">
        <v>3.2</v>
      </c>
      <c r="V15" s="367">
        <v>5.8</v>
      </c>
      <c r="W15" s="367">
        <v>6.3</v>
      </c>
      <c r="X15" s="663">
        <v>4</v>
      </c>
      <c r="Y15" s="663"/>
      <c r="Z15" s="368">
        <v>4.5</v>
      </c>
      <c r="AA15" s="369" t="s">
        <v>176</v>
      </c>
      <c r="AB15" s="404">
        <v>1001</v>
      </c>
      <c r="AC15" s="369" t="s">
        <v>177</v>
      </c>
      <c r="AD15" s="404">
        <v>1100</v>
      </c>
      <c r="AE15" s="665">
        <v>2.9</v>
      </c>
      <c r="AF15" s="665"/>
      <c r="AG15" s="372">
        <v>2.7</v>
      </c>
      <c r="AH15" s="372">
        <v>4.0999999999999996</v>
      </c>
      <c r="AI15" s="372">
        <v>5</v>
      </c>
      <c r="AJ15" s="372">
        <v>3.4</v>
      </c>
      <c r="AK15" s="373">
        <v>3.7</v>
      </c>
      <c r="AL15" s="374" t="s">
        <v>176</v>
      </c>
      <c r="AM15" s="401">
        <v>1101</v>
      </c>
      <c r="AN15" s="374" t="s">
        <v>177</v>
      </c>
      <c r="AO15" s="401">
        <v>1200</v>
      </c>
      <c r="AP15" s="667">
        <v>3.8</v>
      </c>
      <c r="AQ15" s="667"/>
      <c r="AR15" s="667">
        <v>3.4</v>
      </c>
      <c r="AS15" s="667"/>
      <c r="AT15" s="377">
        <v>4.7</v>
      </c>
      <c r="AU15" s="377">
        <v>4.5999999999999996</v>
      </c>
      <c r="AV15" s="667">
        <v>4.2</v>
      </c>
      <c r="AW15" s="667"/>
      <c r="AX15" s="378">
        <v>3.9</v>
      </c>
      <c r="AY15" s="379" t="s">
        <v>176</v>
      </c>
      <c r="AZ15" s="402">
        <v>1101</v>
      </c>
      <c r="BA15" s="379" t="s">
        <v>177</v>
      </c>
      <c r="BB15" s="402">
        <v>1200</v>
      </c>
      <c r="BC15" s="669">
        <v>0.9</v>
      </c>
      <c r="BD15" s="669"/>
      <c r="BE15" s="382">
        <v>1.6</v>
      </c>
      <c r="BF15" s="382">
        <v>2.7</v>
      </c>
      <c r="BG15" s="382">
        <v>4.5</v>
      </c>
      <c r="BH15" s="669">
        <v>1.6</v>
      </c>
      <c r="BI15" s="669"/>
      <c r="BJ15" s="383">
        <v>2.8</v>
      </c>
      <c r="BK15" s="374" t="s">
        <v>176</v>
      </c>
      <c r="BL15" s="401">
        <v>1101</v>
      </c>
      <c r="BM15" s="374" t="s">
        <v>177</v>
      </c>
      <c r="BN15" s="401">
        <v>1200</v>
      </c>
      <c r="BO15" s="667">
        <v>0.8</v>
      </c>
      <c r="BP15" s="667"/>
      <c r="BQ15" s="377">
        <v>0.9</v>
      </c>
      <c r="BR15" s="667">
        <v>0.4</v>
      </c>
      <c r="BS15" s="667"/>
      <c r="BT15" s="377">
        <v>0.8</v>
      </c>
      <c r="BU15" s="377">
        <v>0.6</v>
      </c>
      <c r="BV15" s="384">
        <v>0.8</v>
      </c>
      <c r="BW15" s="379" t="s">
        <v>176</v>
      </c>
      <c r="BX15" s="402">
        <v>1101</v>
      </c>
      <c r="BY15" s="379" t="s">
        <v>177</v>
      </c>
      <c r="BZ15" s="677">
        <v>1200</v>
      </c>
      <c r="CA15" s="677"/>
      <c r="CB15" s="669">
        <v>0.4</v>
      </c>
      <c r="CC15" s="669"/>
      <c r="CD15" s="382">
        <v>0.6</v>
      </c>
      <c r="CE15" s="382">
        <v>0.2</v>
      </c>
      <c r="CF15" s="382">
        <v>0.3</v>
      </c>
      <c r="CG15" s="382">
        <v>0.3</v>
      </c>
      <c r="CH15" s="383">
        <v>0.5</v>
      </c>
      <c r="CI15" s="350" t="s">
        <v>176</v>
      </c>
      <c r="CJ15" s="385">
        <v>1401</v>
      </c>
      <c r="CK15" s="309" t="s">
        <v>177</v>
      </c>
      <c r="CL15" s="385">
        <v>1500</v>
      </c>
      <c r="CM15" s="309">
        <v>0.1</v>
      </c>
      <c r="CN15" s="309">
        <v>0.5</v>
      </c>
      <c r="CO15" s="309">
        <v>1.1000000000000001</v>
      </c>
      <c r="CP15" s="309">
        <v>1.3</v>
      </c>
      <c r="CQ15" s="309">
        <v>0.5</v>
      </c>
      <c r="CR15" s="309">
        <v>0.8</v>
      </c>
      <c r="CS15" s="306" t="s">
        <v>176</v>
      </c>
      <c r="CT15" s="386">
        <v>1401</v>
      </c>
      <c r="CU15" s="306" t="s">
        <v>177</v>
      </c>
      <c r="CV15" s="386">
        <v>1500</v>
      </c>
      <c r="CW15" s="306">
        <v>0.1</v>
      </c>
      <c r="CX15" s="306">
        <v>0.1</v>
      </c>
      <c r="CY15" s="306">
        <v>1.1000000000000001</v>
      </c>
      <c r="CZ15" s="306">
        <v>1.1000000000000001</v>
      </c>
      <c r="DA15" s="306">
        <v>0.5</v>
      </c>
      <c r="DB15" s="306">
        <v>0.5</v>
      </c>
      <c r="DC15" s="309" t="s">
        <v>176</v>
      </c>
      <c r="DD15" s="385">
        <v>2501</v>
      </c>
      <c r="DE15" s="309" t="s">
        <v>177</v>
      </c>
      <c r="DF15" s="385">
        <v>3000</v>
      </c>
      <c r="DG15" s="309">
        <v>6</v>
      </c>
      <c r="DH15" s="309">
        <v>7.3</v>
      </c>
      <c r="DI15" s="309">
        <v>15.6</v>
      </c>
      <c r="DJ15" s="309">
        <v>15.6</v>
      </c>
      <c r="DK15" s="309">
        <v>9.9</v>
      </c>
      <c r="DL15" s="309">
        <v>10.5</v>
      </c>
      <c r="DM15" s="306" t="s">
        <v>176</v>
      </c>
      <c r="DN15" s="386">
        <v>2501</v>
      </c>
      <c r="DO15" s="306" t="s">
        <v>177</v>
      </c>
      <c r="DP15" s="386">
        <v>3000</v>
      </c>
      <c r="DQ15" s="306">
        <v>6.9</v>
      </c>
      <c r="DR15" s="306">
        <v>6.7</v>
      </c>
      <c r="DS15" s="306">
        <v>14.9</v>
      </c>
      <c r="DT15" s="306">
        <v>15.3</v>
      </c>
      <c r="DU15" s="306">
        <v>10.1</v>
      </c>
      <c r="DV15" s="306">
        <v>9.9</v>
      </c>
      <c r="DW15" s="309" t="s">
        <v>176</v>
      </c>
      <c r="DX15" s="385">
        <v>2501</v>
      </c>
      <c r="DY15" s="309" t="s">
        <v>177</v>
      </c>
      <c r="DZ15" s="385">
        <v>3000</v>
      </c>
      <c r="EA15" s="309">
        <v>6.6</v>
      </c>
      <c r="EB15" s="309">
        <v>6.5</v>
      </c>
      <c r="EC15" s="309">
        <v>10.6</v>
      </c>
      <c r="ED15" s="309">
        <v>11.1</v>
      </c>
      <c r="EE15" s="309">
        <v>8.1999999999999993</v>
      </c>
      <c r="EF15" s="309">
        <v>8.4</v>
      </c>
      <c r="EG15" s="387" t="s">
        <v>185</v>
      </c>
      <c r="EH15" s="388">
        <v>4.8895976901578804</v>
      </c>
      <c r="EI15" s="389">
        <v>5.72056701857238</v>
      </c>
      <c r="EJ15" s="390">
        <v>5.2610119758435996</v>
      </c>
      <c r="EK15" s="391">
        <v>5.3056094097975501</v>
      </c>
      <c r="EL15" s="392">
        <v>5.8778514881898696</v>
      </c>
      <c r="EM15" s="393">
        <v>7.8201960955516396</v>
      </c>
      <c r="EN15" s="394">
        <v>6.8723669469997004</v>
      </c>
      <c r="EO15" s="395">
        <v>7.0250330961451999</v>
      </c>
      <c r="EP15" s="388">
        <v>5.2493531003121197</v>
      </c>
      <c r="EQ15" s="389">
        <v>6.6156780226974599</v>
      </c>
      <c r="ER15" s="390">
        <v>5.8950252575943498</v>
      </c>
      <c r="ES15" s="396">
        <v>5.9912916340579603</v>
      </c>
      <c r="ET15" s="309" t="s">
        <v>176</v>
      </c>
      <c r="EU15" s="385">
        <v>2501</v>
      </c>
      <c r="EV15" s="309" t="s">
        <v>177</v>
      </c>
      <c r="EW15" s="385">
        <v>3000</v>
      </c>
      <c r="EX15" s="309">
        <v>4.2</v>
      </c>
      <c r="EY15" s="309">
        <v>4.9000000000000004</v>
      </c>
      <c r="EZ15" s="309">
        <v>4.5</v>
      </c>
      <c r="FA15" s="309">
        <v>4.7</v>
      </c>
      <c r="FB15" s="309">
        <v>4.3</v>
      </c>
      <c r="FC15" s="309">
        <v>5.8</v>
      </c>
      <c r="FD15" s="309">
        <v>5.0999999999999996</v>
      </c>
      <c r="FE15" s="309">
        <v>5.6</v>
      </c>
      <c r="FF15" s="309">
        <v>4.3</v>
      </c>
      <c r="FG15" s="309">
        <v>5.3</v>
      </c>
      <c r="FH15" s="309">
        <v>4.8</v>
      </c>
      <c r="FI15" s="309">
        <v>5.0999999999999996</v>
      </c>
    </row>
    <row r="16" spans="2:165">
      <c r="B16" s="650"/>
      <c r="C16" s="650"/>
      <c r="D16" s="650"/>
      <c r="E16" s="650"/>
      <c r="F16" s="650"/>
      <c r="G16" s="363">
        <v>3.1</v>
      </c>
      <c r="H16" s="363">
        <v>3.6</v>
      </c>
      <c r="I16" s="647"/>
      <c r="J16" s="645"/>
      <c r="K16" s="645"/>
      <c r="L16" s="647"/>
      <c r="M16" s="645"/>
      <c r="N16" s="645"/>
      <c r="O16" s="364" t="s">
        <v>176</v>
      </c>
      <c r="P16" s="403">
        <v>1101</v>
      </c>
      <c r="Q16" s="364" t="s">
        <v>177</v>
      </c>
      <c r="R16" s="403">
        <v>1200</v>
      </c>
      <c r="S16" s="663">
        <v>3.4</v>
      </c>
      <c r="T16" s="663"/>
      <c r="U16" s="367">
        <v>6.2</v>
      </c>
      <c r="V16" s="367">
        <v>7.1</v>
      </c>
      <c r="W16" s="367">
        <v>8</v>
      </c>
      <c r="X16" s="663">
        <v>5</v>
      </c>
      <c r="Y16" s="663"/>
      <c r="Z16" s="368">
        <v>7</v>
      </c>
      <c r="AA16" s="369" t="s">
        <v>176</v>
      </c>
      <c r="AB16" s="404">
        <v>1101</v>
      </c>
      <c r="AC16" s="369" t="s">
        <v>177</v>
      </c>
      <c r="AD16" s="404">
        <v>1200</v>
      </c>
      <c r="AE16" s="665">
        <v>2.6</v>
      </c>
      <c r="AF16" s="665"/>
      <c r="AG16" s="372">
        <v>3</v>
      </c>
      <c r="AH16" s="372">
        <v>4.0999999999999996</v>
      </c>
      <c r="AI16" s="372">
        <v>5.7</v>
      </c>
      <c r="AJ16" s="372">
        <v>3.2</v>
      </c>
      <c r="AK16" s="373">
        <v>4.2</v>
      </c>
      <c r="AL16" s="374" t="s">
        <v>176</v>
      </c>
      <c r="AM16" s="401">
        <v>1201</v>
      </c>
      <c r="AN16" s="374" t="s">
        <v>177</v>
      </c>
      <c r="AO16" s="401">
        <v>1300</v>
      </c>
      <c r="AP16" s="667">
        <v>3.2</v>
      </c>
      <c r="AQ16" s="667"/>
      <c r="AR16" s="667">
        <v>3.1</v>
      </c>
      <c r="AS16" s="667"/>
      <c r="AT16" s="377">
        <v>5.8</v>
      </c>
      <c r="AU16" s="377">
        <v>5.7</v>
      </c>
      <c r="AV16" s="667">
        <v>4.3</v>
      </c>
      <c r="AW16" s="667"/>
      <c r="AX16" s="378">
        <v>4.2</v>
      </c>
      <c r="AY16" s="379" t="s">
        <v>176</v>
      </c>
      <c r="AZ16" s="402">
        <v>1201</v>
      </c>
      <c r="BA16" s="379" t="s">
        <v>177</v>
      </c>
      <c r="BB16" s="402">
        <v>1300</v>
      </c>
      <c r="BC16" s="669">
        <v>1.5</v>
      </c>
      <c r="BD16" s="669"/>
      <c r="BE16" s="382">
        <v>2.5</v>
      </c>
      <c r="BF16" s="382">
        <v>5.6</v>
      </c>
      <c r="BG16" s="382">
        <v>6.7</v>
      </c>
      <c r="BH16" s="669">
        <v>3.2</v>
      </c>
      <c r="BI16" s="669"/>
      <c r="BJ16" s="383">
        <v>4.3</v>
      </c>
      <c r="BK16" s="374" t="s">
        <v>176</v>
      </c>
      <c r="BL16" s="401">
        <v>1201</v>
      </c>
      <c r="BM16" s="374" t="s">
        <v>177</v>
      </c>
      <c r="BN16" s="401">
        <v>1300</v>
      </c>
      <c r="BO16" s="667">
        <v>1.1000000000000001</v>
      </c>
      <c r="BP16" s="667"/>
      <c r="BQ16" s="377">
        <v>1.2</v>
      </c>
      <c r="BR16" s="667">
        <v>2.2000000000000002</v>
      </c>
      <c r="BS16" s="667"/>
      <c r="BT16" s="377">
        <v>2.2000000000000002</v>
      </c>
      <c r="BU16" s="377">
        <v>1.6</v>
      </c>
      <c r="BV16" s="384">
        <v>1.6</v>
      </c>
      <c r="BW16" s="379" t="s">
        <v>176</v>
      </c>
      <c r="BX16" s="402">
        <v>1201</v>
      </c>
      <c r="BY16" s="379" t="s">
        <v>177</v>
      </c>
      <c r="BZ16" s="677">
        <v>1300</v>
      </c>
      <c r="CA16" s="677"/>
      <c r="CB16" s="669">
        <v>0.5</v>
      </c>
      <c r="CC16" s="669"/>
      <c r="CD16" s="382">
        <v>0.7</v>
      </c>
      <c r="CE16" s="382">
        <v>0.6</v>
      </c>
      <c r="CF16" s="382">
        <v>0.8</v>
      </c>
      <c r="CG16" s="382">
        <v>0.5</v>
      </c>
      <c r="CH16" s="383">
        <v>0.8</v>
      </c>
      <c r="CI16" s="350" t="s">
        <v>176</v>
      </c>
      <c r="CJ16" s="385">
        <v>1501</v>
      </c>
      <c r="CK16" s="309" t="s">
        <v>177</v>
      </c>
      <c r="CL16" s="385">
        <v>2000</v>
      </c>
      <c r="CM16" s="309">
        <v>7.2</v>
      </c>
      <c r="CN16" s="309">
        <v>6.9</v>
      </c>
      <c r="CO16" s="309">
        <v>9.5</v>
      </c>
      <c r="CP16" s="309">
        <v>10.9</v>
      </c>
      <c r="CQ16" s="309">
        <v>8.1</v>
      </c>
      <c r="CR16" s="309">
        <v>8.5</v>
      </c>
      <c r="CS16" s="306" t="s">
        <v>176</v>
      </c>
      <c r="CT16" s="386">
        <v>1501</v>
      </c>
      <c r="CU16" s="306" t="s">
        <v>177</v>
      </c>
      <c r="CV16" s="386">
        <v>2000</v>
      </c>
      <c r="CW16" s="306">
        <v>3</v>
      </c>
      <c r="CX16" s="306">
        <v>5</v>
      </c>
      <c r="CY16" s="306">
        <v>9.5</v>
      </c>
      <c r="CZ16" s="306">
        <v>9.5</v>
      </c>
      <c r="DA16" s="306">
        <v>5.6</v>
      </c>
      <c r="DB16" s="306">
        <v>6.8</v>
      </c>
      <c r="DC16" s="309" t="s">
        <v>176</v>
      </c>
      <c r="DD16" s="385">
        <v>3001</v>
      </c>
      <c r="DE16" s="309" t="s">
        <v>177</v>
      </c>
      <c r="DF16" s="385">
        <v>3500</v>
      </c>
      <c r="DG16" s="309">
        <v>11.1</v>
      </c>
      <c r="DH16" s="309">
        <v>11.5</v>
      </c>
      <c r="DI16" s="309">
        <v>10.8</v>
      </c>
      <c r="DJ16" s="309">
        <v>11</v>
      </c>
      <c r="DK16" s="309">
        <v>11</v>
      </c>
      <c r="DL16" s="309">
        <v>11.3</v>
      </c>
      <c r="DM16" s="306" t="s">
        <v>176</v>
      </c>
      <c r="DN16" s="386">
        <v>3001</v>
      </c>
      <c r="DO16" s="306" t="s">
        <v>177</v>
      </c>
      <c r="DP16" s="386">
        <v>3500</v>
      </c>
      <c r="DQ16" s="306">
        <v>7.2</v>
      </c>
      <c r="DR16" s="306">
        <v>9.1</v>
      </c>
      <c r="DS16" s="306">
        <v>11.2</v>
      </c>
      <c r="DT16" s="306">
        <v>11.1</v>
      </c>
      <c r="DU16" s="306">
        <v>8.8000000000000007</v>
      </c>
      <c r="DV16" s="306">
        <v>9.9</v>
      </c>
      <c r="DW16" s="309" t="s">
        <v>176</v>
      </c>
      <c r="DX16" s="385">
        <v>3001</v>
      </c>
      <c r="DY16" s="309" t="s">
        <v>177</v>
      </c>
      <c r="DZ16" s="385">
        <v>3500</v>
      </c>
      <c r="EA16" s="309">
        <v>5.2</v>
      </c>
      <c r="EB16" s="309">
        <v>5.4</v>
      </c>
      <c r="EC16" s="309">
        <v>13.8</v>
      </c>
      <c r="ED16" s="309">
        <v>13.7</v>
      </c>
      <c r="EE16" s="309">
        <v>8.6</v>
      </c>
      <c r="EF16" s="309">
        <v>8.6999999999999993</v>
      </c>
      <c r="EG16" s="387" t="s">
        <v>186</v>
      </c>
      <c r="EH16" s="388">
        <v>4.75356131507999</v>
      </c>
      <c r="EI16" s="389">
        <v>6.7243761498003796</v>
      </c>
      <c r="EJ16" s="390">
        <v>5.6344467569688499</v>
      </c>
      <c r="EK16" s="391">
        <v>5.6216621381055001</v>
      </c>
      <c r="EL16" s="392">
        <v>12.7289678326804</v>
      </c>
      <c r="EM16" s="393">
        <v>18.206891592749901</v>
      </c>
      <c r="EN16" s="394">
        <v>15.5337635630171</v>
      </c>
      <c r="EO16" s="395">
        <v>15.4467659018528</v>
      </c>
      <c r="EP16" s="388">
        <v>7.6568596870162997</v>
      </c>
      <c r="EQ16" s="389">
        <v>11.619586470857399</v>
      </c>
      <c r="ER16" s="390">
        <v>9.5294906471366101</v>
      </c>
      <c r="ES16" s="396">
        <v>9.5395434174616192</v>
      </c>
      <c r="ET16" s="309" t="s">
        <v>176</v>
      </c>
      <c r="EU16" s="385">
        <v>3001</v>
      </c>
      <c r="EV16" s="309" t="s">
        <v>177</v>
      </c>
      <c r="EW16" s="385">
        <v>3500</v>
      </c>
      <c r="EX16" s="309">
        <v>3.5</v>
      </c>
      <c r="EY16" s="309">
        <v>4.3</v>
      </c>
      <c r="EZ16" s="309">
        <v>3.9</v>
      </c>
      <c r="FA16" s="309">
        <v>4.3</v>
      </c>
      <c r="FB16" s="309">
        <v>10.7</v>
      </c>
      <c r="FC16" s="309">
        <v>17.2</v>
      </c>
      <c r="FD16" s="309">
        <v>14.1</v>
      </c>
      <c r="FE16" s="309">
        <v>14.3</v>
      </c>
      <c r="FF16" s="309">
        <v>6.1</v>
      </c>
      <c r="FG16" s="309">
        <v>9.9</v>
      </c>
      <c r="FH16" s="309">
        <v>7.9</v>
      </c>
      <c r="FI16" s="309">
        <v>8.4</v>
      </c>
    </row>
    <row r="17" spans="2:165">
      <c r="B17" s="650" t="s">
        <v>176</v>
      </c>
      <c r="C17" s="650">
        <v>801</v>
      </c>
      <c r="D17" s="650"/>
      <c r="E17" s="650" t="s">
        <v>177</v>
      </c>
      <c r="F17" s="650">
        <v>900</v>
      </c>
      <c r="G17" s="400"/>
      <c r="H17" s="400"/>
      <c r="I17" s="647"/>
      <c r="J17" s="645">
        <v>3.7</v>
      </c>
      <c r="K17" s="645">
        <v>3.8</v>
      </c>
      <c r="L17" s="647"/>
      <c r="M17" s="645">
        <v>3.3</v>
      </c>
      <c r="N17" s="645">
        <v>3.5</v>
      </c>
      <c r="O17" s="364" t="s">
        <v>176</v>
      </c>
      <c r="P17" s="403">
        <v>1201</v>
      </c>
      <c r="Q17" s="364" t="s">
        <v>177</v>
      </c>
      <c r="R17" s="403">
        <v>1300</v>
      </c>
      <c r="S17" s="663">
        <v>8.6</v>
      </c>
      <c r="T17" s="663"/>
      <c r="U17" s="367">
        <v>8.8000000000000007</v>
      </c>
      <c r="V17" s="367">
        <v>8</v>
      </c>
      <c r="W17" s="367">
        <v>6.7</v>
      </c>
      <c r="X17" s="663">
        <v>8.4</v>
      </c>
      <c r="Y17" s="663"/>
      <c r="Z17" s="368">
        <v>7.9</v>
      </c>
      <c r="AA17" s="369" t="s">
        <v>176</v>
      </c>
      <c r="AB17" s="404">
        <v>1201</v>
      </c>
      <c r="AC17" s="369" t="s">
        <v>177</v>
      </c>
      <c r="AD17" s="404">
        <v>1300</v>
      </c>
      <c r="AE17" s="665">
        <v>2.9</v>
      </c>
      <c r="AF17" s="665"/>
      <c r="AG17" s="372">
        <v>5.0999999999999996</v>
      </c>
      <c r="AH17" s="372">
        <v>5.5</v>
      </c>
      <c r="AI17" s="372">
        <v>6.8</v>
      </c>
      <c r="AJ17" s="372">
        <v>4</v>
      </c>
      <c r="AK17" s="373">
        <v>5.9</v>
      </c>
      <c r="AL17" s="374" t="s">
        <v>176</v>
      </c>
      <c r="AM17" s="401">
        <v>1301</v>
      </c>
      <c r="AN17" s="374" t="s">
        <v>177</v>
      </c>
      <c r="AO17" s="401">
        <v>1400</v>
      </c>
      <c r="AP17" s="667">
        <v>2.6</v>
      </c>
      <c r="AQ17" s="667"/>
      <c r="AR17" s="667">
        <v>2.6</v>
      </c>
      <c r="AS17" s="667"/>
      <c r="AT17" s="377">
        <v>6.2</v>
      </c>
      <c r="AU17" s="377">
        <v>6.3</v>
      </c>
      <c r="AV17" s="667">
        <v>4.2</v>
      </c>
      <c r="AW17" s="667"/>
      <c r="AX17" s="378">
        <v>4.2</v>
      </c>
      <c r="AY17" s="379" t="s">
        <v>176</v>
      </c>
      <c r="AZ17" s="402">
        <v>1301</v>
      </c>
      <c r="BA17" s="379" t="s">
        <v>177</v>
      </c>
      <c r="BB17" s="402">
        <v>1400</v>
      </c>
      <c r="BC17" s="669">
        <v>2.4</v>
      </c>
      <c r="BD17" s="669"/>
      <c r="BE17" s="382">
        <v>3.1</v>
      </c>
      <c r="BF17" s="382">
        <v>7.5</v>
      </c>
      <c r="BG17" s="382">
        <v>7.1</v>
      </c>
      <c r="BH17" s="669">
        <v>4.5</v>
      </c>
      <c r="BI17" s="669"/>
      <c r="BJ17" s="383">
        <v>4.8</v>
      </c>
      <c r="BK17" s="374" t="s">
        <v>176</v>
      </c>
      <c r="BL17" s="401">
        <v>1301</v>
      </c>
      <c r="BM17" s="374" t="s">
        <v>177</v>
      </c>
      <c r="BN17" s="401">
        <v>1400</v>
      </c>
      <c r="BO17" s="667">
        <v>0.7</v>
      </c>
      <c r="BP17" s="667"/>
      <c r="BQ17" s="377">
        <v>1</v>
      </c>
      <c r="BR17" s="667">
        <v>3.1</v>
      </c>
      <c r="BS17" s="667"/>
      <c r="BT17" s="377">
        <v>4.0999999999999996</v>
      </c>
      <c r="BU17" s="377">
        <v>1.7</v>
      </c>
      <c r="BV17" s="384">
        <v>2.2999999999999998</v>
      </c>
      <c r="BW17" s="379" t="s">
        <v>176</v>
      </c>
      <c r="BX17" s="402">
        <v>1301</v>
      </c>
      <c r="BY17" s="379" t="s">
        <v>177</v>
      </c>
      <c r="BZ17" s="677">
        <v>1400</v>
      </c>
      <c r="CA17" s="677"/>
      <c r="CB17" s="669">
        <v>0.6</v>
      </c>
      <c r="CC17" s="669"/>
      <c r="CD17" s="382">
        <v>0.7</v>
      </c>
      <c r="CE17" s="382">
        <v>1.7</v>
      </c>
      <c r="CF17" s="382">
        <v>2.1</v>
      </c>
      <c r="CG17" s="382">
        <v>1.1000000000000001</v>
      </c>
      <c r="CH17" s="383">
        <v>1.3</v>
      </c>
      <c r="CI17" s="350" t="s">
        <v>176</v>
      </c>
      <c r="CJ17" s="385">
        <v>2001</v>
      </c>
      <c r="CK17" s="309" t="s">
        <v>177</v>
      </c>
      <c r="CL17" s="385">
        <v>2500</v>
      </c>
      <c r="CM17" s="309">
        <v>9.1</v>
      </c>
      <c r="CN17" s="309">
        <v>10.3</v>
      </c>
      <c r="CO17" s="309">
        <v>18</v>
      </c>
      <c r="CP17" s="309">
        <v>18.2</v>
      </c>
      <c r="CQ17" s="309">
        <v>12.7</v>
      </c>
      <c r="CR17" s="309">
        <v>13.5</v>
      </c>
      <c r="CS17" s="306" t="s">
        <v>176</v>
      </c>
      <c r="CT17" s="386">
        <v>2001</v>
      </c>
      <c r="CU17" s="306" t="s">
        <v>177</v>
      </c>
      <c r="CV17" s="386">
        <v>2500</v>
      </c>
      <c r="CW17" s="306">
        <v>7.7</v>
      </c>
      <c r="CX17" s="306">
        <v>8.8000000000000007</v>
      </c>
      <c r="CY17" s="306">
        <v>18</v>
      </c>
      <c r="CZ17" s="306">
        <v>18</v>
      </c>
      <c r="DA17" s="306">
        <v>11.8</v>
      </c>
      <c r="DB17" s="306">
        <v>12.5</v>
      </c>
      <c r="DC17" s="309" t="s">
        <v>176</v>
      </c>
      <c r="DD17" s="385">
        <v>3501</v>
      </c>
      <c r="DE17" s="309" t="s">
        <v>177</v>
      </c>
      <c r="DF17" s="385">
        <v>4500</v>
      </c>
      <c r="DG17" s="309">
        <v>16.8</v>
      </c>
      <c r="DH17" s="309">
        <v>15.9</v>
      </c>
      <c r="DI17" s="309">
        <v>13.9</v>
      </c>
      <c r="DJ17" s="309">
        <v>14.9</v>
      </c>
      <c r="DK17" s="309">
        <v>15.6</v>
      </c>
      <c r="DL17" s="309">
        <v>15.6</v>
      </c>
      <c r="DM17" s="306" t="s">
        <v>176</v>
      </c>
      <c r="DN17" s="386">
        <v>3501</v>
      </c>
      <c r="DO17" s="306" t="s">
        <v>177</v>
      </c>
      <c r="DP17" s="386">
        <v>4500</v>
      </c>
      <c r="DQ17" s="306">
        <v>18.399999999999999</v>
      </c>
      <c r="DR17" s="306">
        <v>17.8</v>
      </c>
      <c r="DS17" s="306">
        <v>15.2</v>
      </c>
      <c r="DT17" s="306">
        <v>14.4</v>
      </c>
      <c r="DU17" s="306">
        <v>17.100000000000001</v>
      </c>
      <c r="DV17" s="306">
        <v>16.5</v>
      </c>
      <c r="DW17" s="309" t="s">
        <v>176</v>
      </c>
      <c r="DX17" s="385">
        <v>3501</v>
      </c>
      <c r="DY17" s="309" t="s">
        <v>177</v>
      </c>
      <c r="DZ17" s="385">
        <v>4500</v>
      </c>
      <c r="EA17" s="309">
        <v>17.7</v>
      </c>
      <c r="EB17" s="309">
        <v>17.8</v>
      </c>
      <c r="EC17" s="309">
        <v>14.8</v>
      </c>
      <c r="ED17" s="309">
        <v>15</v>
      </c>
      <c r="EE17" s="309">
        <v>16.399999999999999</v>
      </c>
      <c r="EF17" s="309">
        <v>16.600000000000001</v>
      </c>
      <c r="EG17" s="387" t="s">
        <v>187</v>
      </c>
      <c r="EH17" s="388">
        <v>11.742314407516901</v>
      </c>
      <c r="EI17" s="389">
        <v>14.173174250578199</v>
      </c>
      <c r="EJ17" s="390">
        <v>12.8288239107441</v>
      </c>
      <c r="EK17" s="391">
        <v>13.1488226942176</v>
      </c>
      <c r="EL17" s="392">
        <v>16.618254913478602</v>
      </c>
      <c r="EM17" s="393">
        <v>13.593664131155</v>
      </c>
      <c r="EN17" s="394">
        <v>15.0696099005423</v>
      </c>
      <c r="EO17" s="395">
        <v>15.0743242376802</v>
      </c>
      <c r="EP17" s="388">
        <v>13.5173098389568</v>
      </c>
      <c r="EQ17" s="389">
        <v>13.9261182869392</v>
      </c>
      <c r="ER17" s="390">
        <v>13.7104968534066</v>
      </c>
      <c r="ES17" s="396">
        <v>13.9167539843288</v>
      </c>
      <c r="ET17" s="309" t="s">
        <v>176</v>
      </c>
      <c r="EU17" s="385">
        <v>3501</v>
      </c>
      <c r="EV17" s="309" t="s">
        <v>177</v>
      </c>
      <c r="EW17" s="385">
        <v>4500</v>
      </c>
      <c r="EX17" s="309">
        <v>10.199999999999999</v>
      </c>
      <c r="EY17" s="309">
        <v>13.4</v>
      </c>
      <c r="EZ17" s="309">
        <v>11.7</v>
      </c>
      <c r="FA17" s="309">
        <v>11.9</v>
      </c>
      <c r="FB17" s="309">
        <v>18</v>
      </c>
      <c r="FC17" s="309">
        <v>14.9</v>
      </c>
      <c r="FD17" s="309">
        <v>16.399999999999999</v>
      </c>
      <c r="FE17" s="309">
        <v>16.100000000000001</v>
      </c>
      <c r="FF17" s="309">
        <v>13.1</v>
      </c>
      <c r="FG17" s="309">
        <v>14</v>
      </c>
      <c r="FH17" s="309">
        <v>13.5</v>
      </c>
      <c r="FI17" s="309">
        <v>13.6</v>
      </c>
    </row>
    <row r="18" spans="2:165">
      <c r="B18" s="650"/>
      <c r="C18" s="650"/>
      <c r="D18" s="650"/>
      <c r="E18" s="650"/>
      <c r="F18" s="650"/>
      <c r="G18" s="363">
        <v>3.1</v>
      </c>
      <c r="H18" s="363">
        <v>3.2</v>
      </c>
      <c r="I18" s="647"/>
      <c r="J18" s="645"/>
      <c r="K18" s="645"/>
      <c r="L18" s="647"/>
      <c r="M18" s="645"/>
      <c r="N18" s="645"/>
      <c r="O18" s="364" t="s">
        <v>176</v>
      </c>
      <c r="P18" s="403">
        <v>1301</v>
      </c>
      <c r="Q18" s="364" t="s">
        <v>177</v>
      </c>
      <c r="R18" s="403">
        <v>1400</v>
      </c>
      <c r="S18" s="663">
        <v>9</v>
      </c>
      <c r="T18" s="663"/>
      <c r="U18" s="367">
        <v>6.9</v>
      </c>
      <c r="V18" s="367">
        <v>5</v>
      </c>
      <c r="W18" s="367">
        <v>7.5</v>
      </c>
      <c r="X18" s="663">
        <v>7.3</v>
      </c>
      <c r="Y18" s="663"/>
      <c r="Z18" s="368">
        <v>7.1</v>
      </c>
      <c r="AA18" s="369" t="s">
        <v>176</v>
      </c>
      <c r="AB18" s="404">
        <v>1301</v>
      </c>
      <c r="AC18" s="369" t="s">
        <v>177</v>
      </c>
      <c r="AD18" s="404">
        <v>1400</v>
      </c>
      <c r="AE18" s="665">
        <v>2.5</v>
      </c>
      <c r="AF18" s="665"/>
      <c r="AG18" s="372">
        <v>5.5</v>
      </c>
      <c r="AH18" s="372">
        <v>6.4</v>
      </c>
      <c r="AI18" s="372">
        <v>5.9</v>
      </c>
      <c r="AJ18" s="372">
        <v>4.2</v>
      </c>
      <c r="AK18" s="373">
        <v>5.7</v>
      </c>
      <c r="AL18" s="374" t="s">
        <v>176</v>
      </c>
      <c r="AM18" s="401">
        <v>1401</v>
      </c>
      <c r="AN18" s="374" t="s">
        <v>177</v>
      </c>
      <c r="AO18" s="401">
        <v>1500</v>
      </c>
      <c r="AP18" s="667">
        <v>5.7</v>
      </c>
      <c r="AQ18" s="667"/>
      <c r="AR18" s="667">
        <v>6.2</v>
      </c>
      <c r="AS18" s="667"/>
      <c r="AT18" s="377">
        <v>5.9</v>
      </c>
      <c r="AU18" s="377">
        <v>6.1</v>
      </c>
      <c r="AV18" s="667">
        <v>6.4</v>
      </c>
      <c r="AW18" s="667"/>
      <c r="AX18" s="378">
        <v>6.1</v>
      </c>
      <c r="AY18" s="379" t="s">
        <v>176</v>
      </c>
      <c r="AZ18" s="402">
        <v>1401</v>
      </c>
      <c r="BA18" s="379" t="s">
        <v>177</v>
      </c>
      <c r="BB18" s="402">
        <v>1500</v>
      </c>
      <c r="BC18" s="669">
        <v>3.1</v>
      </c>
      <c r="BD18" s="669"/>
      <c r="BE18" s="382">
        <v>4.9000000000000004</v>
      </c>
      <c r="BF18" s="382">
        <v>6.2</v>
      </c>
      <c r="BG18" s="382">
        <v>6.4</v>
      </c>
      <c r="BH18" s="669">
        <v>4.4000000000000004</v>
      </c>
      <c r="BI18" s="669"/>
      <c r="BJ18" s="383">
        <v>5.5</v>
      </c>
      <c r="BK18" s="374" t="s">
        <v>176</v>
      </c>
      <c r="BL18" s="401">
        <v>1401</v>
      </c>
      <c r="BM18" s="374" t="s">
        <v>177</v>
      </c>
      <c r="BN18" s="401">
        <v>1500</v>
      </c>
      <c r="BO18" s="667">
        <v>2</v>
      </c>
      <c r="BP18" s="667"/>
      <c r="BQ18" s="377">
        <v>2.4</v>
      </c>
      <c r="BR18" s="667">
        <v>9.6999999999999993</v>
      </c>
      <c r="BS18" s="667"/>
      <c r="BT18" s="377">
        <v>8.3000000000000007</v>
      </c>
      <c r="BU18" s="377">
        <v>5.2</v>
      </c>
      <c r="BV18" s="384">
        <v>4.8</v>
      </c>
      <c r="BW18" s="379" t="s">
        <v>176</v>
      </c>
      <c r="BX18" s="402">
        <v>1401</v>
      </c>
      <c r="BY18" s="379" t="s">
        <v>177</v>
      </c>
      <c r="BZ18" s="677">
        <v>1500</v>
      </c>
      <c r="CA18" s="677"/>
      <c r="CB18" s="669">
        <v>0.7</v>
      </c>
      <c r="CC18" s="669"/>
      <c r="CD18" s="382">
        <v>1.1000000000000001</v>
      </c>
      <c r="CE18" s="382">
        <v>2.9</v>
      </c>
      <c r="CF18" s="382">
        <v>4.3</v>
      </c>
      <c r="CG18" s="382">
        <v>1.6</v>
      </c>
      <c r="CH18" s="383">
        <v>2.4</v>
      </c>
      <c r="CI18" s="350" t="s">
        <v>176</v>
      </c>
      <c r="CJ18" s="385">
        <v>2501</v>
      </c>
      <c r="CK18" s="309" t="s">
        <v>177</v>
      </c>
      <c r="CL18" s="385">
        <v>3000</v>
      </c>
      <c r="CM18" s="309">
        <v>12.1</v>
      </c>
      <c r="CN18" s="309">
        <v>13.6</v>
      </c>
      <c r="CO18" s="309">
        <v>14.6</v>
      </c>
      <c r="CP18" s="309">
        <v>15.6</v>
      </c>
      <c r="CQ18" s="309">
        <v>13.1</v>
      </c>
      <c r="CR18" s="309">
        <v>14.4</v>
      </c>
      <c r="CS18" s="306" t="s">
        <v>176</v>
      </c>
      <c r="CT18" s="386">
        <v>2501</v>
      </c>
      <c r="CU18" s="306" t="s">
        <v>177</v>
      </c>
      <c r="CV18" s="386">
        <v>3000</v>
      </c>
      <c r="CW18" s="306">
        <v>8.4</v>
      </c>
      <c r="CX18" s="306">
        <v>10.7</v>
      </c>
      <c r="CY18" s="306">
        <v>14.6</v>
      </c>
      <c r="CZ18" s="306">
        <v>14.6</v>
      </c>
      <c r="DA18" s="306">
        <v>10.9</v>
      </c>
      <c r="DB18" s="306">
        <v>12.2</v>
      </c>
      <c r="DC18" s="309" t="s">
        <v>176</v>
      </c>
      <c r="DD18" s="385">
        <v>4501</v>
      </c>
      <c r="DE18" s="309" t="s">
        <v>177</v>
      </c>
      <c r="DF18" s="385">
        <v>5500</v>
      </c>
      <c r="DG18" s="309">
        <v>10.3</v>
      </c>
      <c r="DH18" s="309">
        <v>10</v>
      </c>
      <c r="DI18" s="309">
        <v>13.3</v>
      </c>
      <c r="DJ18" s="309">
        <v>12.2</v>
      </c>
      <c r="DK18" s="309">
        <v>11.5</v>
      </c>
      <c r="DL18" s="309">
        <v>10.9</v>
      </c>
      <c r="DM18" s="306" t="s">
        <v>176</v>
      </c>
      <c r="DN18" s="386">
        <v>4501</v>
      </c>
      <c r="DO18" s="306" t="s">
        <v>177</v>
      </c>
      <c r="DP18" s="386">
        <v>5500</v>
      </c>
      <c r="DQ18" s="306">
        <v>11.2</v>
      </c>
      <c r="DR18" s="306">
        <v>10.7</v>
      </c>
      <c r="DS18" s="306">
        <v>12.7</v>
      </c>
      <c r="DT18" s="306">
        <v>12.7</v>
      </c>
      <c r="DU18" s="306">
        <v>11.8</v>
      </c>
      <c r="DV18" s="306">
        <v>11.5</v>
      </c>
      <c r="DW18" s="309" t="s">
        <v>176</v>
      </c>
      <c r="DX18" s="385">
        <v>4501</v>
      </c>
      <c r="DY18" s="309" t="s">
        <v>177</v>
      </c>
      <c r="DZ18" s="385">
        <v>5500</v>
      </c>
      <c r="EA18" s="309">
        <v>13.1</v>
      </c>
      <c r="EB18" s="309">
        <v>12.8</v>
      </c>
      <c r="EC18" s="309">
        <v>13.2</v>
      </c>
      <c r="ED18" s="309">
        <v>13.2</v>
      </c>
      <c r="EE18" s="309">
        <v>13</v>
      </c>
      <c r="EF18" s="309">
        <v>13</v>
      </c>
      <c r="EG18" s="387" t="s">
        <v>188</v>
      </c>
      <c r="EH18" s="388">
        <v>14.812849730703499</v>
      </c>
      <c r="EI18" s="389">
        <v>14.744543934779101</v>
      </c>
      <c r="EJ18" s="390">
        <v>14.782319424067699</v>
      </c>
      <c r="EK18" s="391">
        <v>15.010140613626</v>
      </c>
      <c r="EL18" s="392">
        <v>12.8620776995166</v>
      </c>
      <c r="EM18" s="393">
        <v>13.5104596278396</v>
      </c>
      <c r="EN18" s="394">
        <v>13.194060936933001</v>
      </c>
      <c r="EO18" s="395">
        <v>13.038718414671299</v>
      </c>
      <c r="EP18" s="388">
        <v>14.1027074640159</v>
      </c>
      <c r="EQ18" s="389">
        <v>14.218430796381901</v>
      </c>
      <c r="ER18" s="390">
        <v>14.1573938218745</v>
      </c>
      <c r="ES18" s="396">
        <v>14.224164155471399</v>
      </c>
      <c r="ET18" s="309" t="s">
        <v>176</v>
      </c>
      <c r="EU18" s="385">
        <v>4501</v>
      </c>
      <c r="EV18" s="309" t="s">
        <v>177</v>
      </c>
      <c r="EW18" s="385">
        <v>5500</v>
      </c>
      <c r="EX18" s="309">
        <v>15.1</v>
      </c>
      <c r="EY18" s="309">
        <v>14.6</v>
      </c>
      <c r="EZ18" s="309">
        <v>14.9</v>
      </c>
      <c r="FA18" s="309">
        <v>15.1</v>
      </c>
      <c r="FB18" s="309">
        <v>11.5</v>
      </c>
      <c r="FC18" s="309">
        <v>10.7</v>
      </c>
      <c r="FD18" s="309">
        <v>11.1</v>
      </c>
      <c r="FE18" s="309">
        <v>11.5</v>
      </c>
      <c r="FF18" s="309">
        <v>13.8</v>
      </c>
      <c r="FG18" s="309">
        <v>12.9</v>
      </c>
      <c r="FH18" s="309">
        <v>13.4</v>
      </c>
      <c r="FI18" s="309">
        <v>13.7</v>
      </c>
    </row>
    <row r="19" spans="2:165">
      <c r="B19" s="650" t="s">
        <v>176</v>
      </c>
      <c r="C19" s="650">
        <v>901</v>
      </c>
      <c r="D19" s="650"/>
      <c r="E19" s="650" t="s">
        <v>177</v>
      </c>
      <c r="F19" s="650">
        <v>1000</v>
      </c>
      <c r="G19" s="400"/>
      <c r="H19" s="400"/>
      <c r="I19" s="647"/>
      <c r="J19" s="645">
        <v>5.9</v>
      </c>
      <c r="K19" s="645">
        <v>6.1</v>
      </c>
      <c r="L19" s="647"/>
      <c r="M19" s="645">
        <v>4.2</v>
      </c>
      <c r="N19" s="645">
        <v>4.5</v>
      </c>
      <c r="O19" s="364" t="s">
        <v>176</v>
      </c>
      <c r="P19" s="403">
        <v>1401</v>
      </c>
      <c r="Q19" s="364" t="s">
        <v>177</v>
      </c>
      <c r="R19" s="403">
        <v>1500</v>
      </c>
      <c r="S19" s="663">
        <v>5</v>
      </c>
      <c r="T19" s="663"/>
      <c r="U19" s="367">
        <v>4</v>
      </c>
      <c r="V19" s="367">
        <v>8.6999999999999993</v>
      </c>
      <c r="W19" s="367">
        <v>6.7</v>
      </c>
      <c r="X19" s="663">
        <v>6.6</v>
      </c>
      <c r="Y19" s="663"/>
      <c r="Z19" s="368">
        <v>5.2</v>
      </c>
      <c r="AA19" s="369" t="s">
        <v>176</v>
      </c>
      <c r="AB19" s="404">
        <v>1401</v>
      </c>
      <c r="AC19" s="369" t="s">
        <v>177</v>
      </c>
      <c r="AD19" s="404">
        <v>1500</v>
      </c>
      <c r="AE19" s="665">
        <v>5.8</v>
      </c>
      <c r="AF19" s="665"/>
      <c r="AG19" s="372">
        <v>5.6</v>
      </c>
      <c r="AH19" s="372">
        <v>6.3</v>
      </c>
      <c r="AI19" s="372">
        <v>7.6</v>
      </c>
      <c r="AJ19" s="372">
        <v>6</v>
      </c>
      <c r="AK19" s="373">
        <v>6.5</v>
      </c>
      <c r="AL19" s="374" t="s">
        <v>176</v>
      </c>
      <c r="AM19" s="401">
        <v>1501</v>
      </c>
      <c r="AN19" s="374" t="s">
        <v>177</v>
      </c>
      <c r="AO19" s="401">
        <v>2000</v>
      </c>
      <c r="AP19" s="667">
        <v>22.3</v>
      </c>
      <c r="AQ19" s="667"/>
      <c r="AR19" s="667">
        <v>22</v>
      </c>
      <c r="AS19" s="667"/>
      <c r="AT19" s="377">
        <v>22.8</v>
      </c>
      <c r="AU19" s="377">
        <v>23.7</v>
      </c>
      <c r="AV19" s="667">
        <v>21.6</v>
      </c>
      <c r="AW19" s="667"/>
      <c r="AX19" s="384">
        <v>22.8</v>
      </c>
      <c r="AY19" s="379" t="s">
        <v>176</v>
      </c>
      <c r="AZ19" s="402">
        <v>1501</v>
      </c>
      <c r="BA19" s="379" t="s">
        <v>177</v>
      </c>
      <c r="BB19" s="402">
        <v>2000</v>
      </c>
      <c r="BC19" s="669">
        <v>22.1</v>
      </c>
      <c r="BD19" s="669"/>
      <c r="BE19" s="382">
        <v>19.8</v>
      </c>
      <c r="BF19" s="382">
        <v>25.5</v>
      </c>
      <c r="BG19" s="382">
        <v>23.2</v>
      </c>
      <c r="BH19" s="669">
        <v>23.5</v>
      </c>
      <c r="BI19" s="669"/>
      <c r="BJ19" s="383">
        <v>21.2</v>
      </c>
      <c r="BK19" s="374" t="s">
        <v>176</v>
      </c>
      <c r="BL19" s="401">
        <v>1501</v>
      </c>
      <c r="BM19" s="374" t="s">
        <v>177</v>
      </c>
      <c r="BN19" s="401">
        <v>2000</v>
      </c>
      <c r="BO19" s="667">
        <v>16.8</v>
      </c>
      <c r="BP19" s="667"/>
      <c r="BQ19" s="377">
        <v>14.9</v>
      </c>
      <c r="BR19" s="667">
        <v>26.4</v>
      </c>
      <c r="BS19" s="667"/>
      <c r="BT19" s="377">
        <v>23.2</v>
      </c>
      <c r="BU19" s="377">
        <v>20.7</v>
      </c>
      <c r="BV19" s="384">
        <v>18.399999999999999</v>
      </c>
      <c r="BW19" s="379" t="s">
        <v>176</v>
      </c>
      <c r="BX19" s="402">
        <v>1501</v>
      </c>
      <c r="BY19" s="379" t="s">
        <v>177</v>
      </c>
      <c r="BZ19" s="677">
        <v>2000</v>
      </c>
      <c r="CA19" s="677"/>
      <c r="CB19" s="669">
        <v>7.6</v>
      </c>
      <c r="CC19" s="669"/>
      <c r="CD19" s="382">
        <v>11.4</v>
      </c>
      <c r="CE19" s="382">
        <v>23.2</v>
      </c>
      <c r="CF19" s="382">
        <v>27.2</v>
      </c>
      <c r="CG19" s="382">
        <v>14</v>
      </c>
      <c r="CH19" s="383">
        <v>17.899999999999999</v>
      </c>
      <c r="CI19" s="350" t="s">
        <v>176</v>
      </c>
      <c r="CJ19" s="385">
        <v>3001</v>
      </c>
      <c r="CK19" s="309" t="s">
        <v>177</v>
      </c>
      <c r="CL19" s="385">
        <v>3500</v>
      </c>
      <c r="CM19" s="309">
        <v>11.2</v>
      </c>
      <c r="CN19" s="309">
        <v>11.8</v>
      </c>
      <c r="CO19" s="309">
        <v>11</v>
      </c>
      <c r="CP19" s="309">
        <v>11</v>
      </c>
      <c r="CQ19" s="309">
        <v>11.1</v>
      </c>
      <c r="CR19" s="309">
        <v>11.5</v>
      </c>
      <c r="CS19" s="306" t="s">
        <v>176</v>
      </c>
      <c r="CT19" s="386">
        <v>3001</v>
      </c>
      <c r="CU19" s="306" t="s">
        <v>177</v>
      </c>
      <c r="CV19" s="386">
        <v>3500</v>
      </c>
      <c r="CW19" s="306">
        <v>11.5</v>
      </c>
      <c r="CX19" s="306">
        <v>11.1</v>
      </c>
      <c r="CY19" s="306">
        <v>11</v>
      </c>
      <c r="CZ19" s="306">
        <v>11</v>
      </c>
      <c r="DA19" s="306">
        <v>11.3</v>
      </c>
      <c r="DB19" s="306">
        <v>11</v>
      </c>
      <c r="DC19" s="309" t="s">
        <v>176</v>
      </c>
      <c r="DD19" s="385">
        <v>5501</v>
      </c>
      <c r="DE19" s="309" t="s">
        <v>177</v>
      </c>
      <c r="DF19" s="385">
        <v>6500</v>
      </c>
      <c r="DG19" s="309">
        <v>6.4</v>
      </c>
      <c r="DH19" s="309">
        <v>7</v>
      </c>
      <c r="DI19" s="309">
        <v>8.6</v>
      </c>
      <c r="DJ19" s="309">
        <v>7.3</v>
      </c>
      <c r="DK19" s="309">
        <v>7.3</v>
      </c>
      <c r="DL19" s="309">
        <v>7.1</v>
      </c>
      <c r="DM19" s="306" t="s">
        <v>176</v>
      </c>
      <c r="DN19" s="386">
        <v>5501</v>
      </c>
      <c r="DO19" s="306" t="s">
        <v>177</v>
      </c>
      <c r="DP19" s="386">
        <v>6500</v>
      </c>
      <c r="DQ19" s="306">
        <v>7</v>
      </c>
      <c r="DR19" s="306">
        <v>6.5</v>
      </c>
      <c r="DS19" s="306">
        <v>8.5</v>
      </c>
      <c r="DT19" s="306">
        <v>8.6</v>
      </c>
      <c r="DU19" s="306">
        <v>7.6</v>
      </c>
      <c r="DV19" s="306">
        <v>7.3</v>
      </c>
      <c r="DW19" s="309" t="s">
        <v>176</v>
      </c>
      <c r="DX19" s="385">
        <v>5501</v>
      </c>
      <c r="DY19" s="309" t="s">
        <v>177</v>
      </c>
      <c r="DZ19" s="385">
        <v>6500</v>
      </c>
      <c r="EA19" s="309">
        <v>8.3000000000000007</v>
      </c>
      <c r="EB19" s="309">
        <v>8.1999999999999993</v>
      </c>
      <c r="EC19" s="309">
        <v>8.6999999999999993</v>
      </c>
      <c r="ED19" s="309">
        <v>8.6999999999999993</v>
      </c>
      <c r="EE19" s="309">
        <v>8.4</v>
      </c>
      <c r="EF19" s="309">
        <v>8.4</v>
      </c>
      <c r="EG19" s="387" t="s">
        <v>189</v>
      </c>
      <c r="EH19" s="388">
        <v>10.236660106484701</v>
      </c>
      <c r="EI19" s="389">
        <v>9.8499248097342793</v>
      </c>
      <c r="EJ19" s="390">
        <v>10.0638029274284</v>
      </c>
      <c r="EK19" s="391">
        <v>9.7956597885390195</v>
      </c>
      <c r="EL19" s="392">
        <v>9.1053615792111504</v>
      </c>
      <c r="EM19" s="393">
        <v>10.2536710135028</v>
      </c>
      <c r="EN19" s="394">
        <v>9.6933167132135196</v>
      </c>
      <c r="EO19" s="395">
        <v>9.4879600885809605</v>
      </c>
      <c r="EP19" s="388">
        <v>9.8248319237884498</v>
      </c>
      <c r="EQ19" s="389">
        <v>10.022049340599899</v>
      </c>
      <c r="ER19" s="390">
        <v>9.9180292247232593</v>
      </c>
      <c r="ES19" s="396">
        <v>9.6730549394929799</v>
      </c>
      <c r="ET19" s="309" t="s">
        <v>176</v>
      </c>
      <c r="EU19" s="385">
        <v>5501</v>
      </c>
      <c r="EV19" s="309" t="s">
        <v>177</v>
      </c>
      <c r="EW19" s="385">
        <v>6500</v>
      </c>
      <c r="EX19" s="309">
        <v>9.9</v>
      </c>
      <c r="EY19" s="309">
        <v>10.6</v>
      </c>
      <c r="EZ19" s="309">
        <v>10.199999999999999</v>
      </c>
      <c r="FA19" s="309">
        <v>10.4</v>
      </c>
      <c r="FB19" s="309">
        <v>10.9</v>
      </c>
      <c r="FC19" s="309">
        <v>12.5</v>
      </c>
      <c r="FD19" s="309">
        <v>11.7</v>
      </c>
      <c r="FE19" s="309">
        <v>11</v>
      </c>
      <c r="FF19" s="309">
        <v>10.3</v>
      </c>
      <c r="FG19" s="309">
        <v>11.4</v>
      </c>
      <c r="FH19" s="309">
        <v>10.8</v>
      </c>
      <c r="FI19" s="309">
        <v>10.6</v>
      </c>
    </row>
    <row r="20" spans="2:165">
      <c r="B20" s="650"/>
      <c r="C20" s="650"/>
      <c r="D20" s="650"/>
      <c r="E20" s="650"/>
      <c r="F20" s="650"/>
      <c r="G20" s="363">
        <v>2.8</v>
      </c>
      <c r="H20" s="363">
        <v>3.2</v>
      </c>
      <c r="I20" s="647"/>
      <c r="J20" s="645"/>
      <c r="K20" s="645"/>
      <c r="L20" s="647"/>
      <c r="M20" s="645"/>
      <c r="N20" s="645"/>
      <c r="O20" s="364" t="s">
        <v>176</v>
      </c>
      <c r="P20" s="403">
        <v>1501</v>
      </c>
      <c r="Q20" s="364" t="s">
        <v>177</v>
      </c>
      <c r="R20" s="403">
        <v>2000</v>
      </c>
      <c r="S20" s="663">
        <v>17.399999999999999</v>
      </c>
      <c r="T20" s="663"/>
      <c r="U20" s="367">
        <v>18.5</v>
      </c>
      <c r="V20" s="367">
        <v>16.100000000000001</v>
      </c>
      <c r="W20" s="367">
        <v>14.6</v>
      </c>
      <c r="X20" s="663">
        <v>16.8</v>
      </c>
      <c r="Y20" s="663"/>
      <c r="Z20" s="368">
        <v>16.8</v>
      </c>
      <c r="AA20" s="369" t="s">
        <v>176</v>
      </c>
      <c r="AB20" s="404">
        <v>1501</v>
      </c>
      <c r="AC20" s="369" t="s">
        <v>177</v>
      </c>
      <c r="AD20" s="404">
        <v>2000</v>
      </c>
      <c r="AE20" s="665">
        <v>23.2</v>
      </c>
      <c r="AF20" s="665"/>
      <c r="AG20" s="372">
        <v>20.100000000000001</v>
      </c>
      <c r="AH20" s="372">
        <v>24.2</v>
      </c>
      <c r="AI20" s="372">
        <v>20.399999999999999</v>
      </c>
      <c r="AJ20" s="372">
        <v>23.6</v>
      </c>
      <c r="AK20" s="373">
        <v>20.2</v>
      </c>
      <c r="AL20" s="374" t="s">
        <v>176</v>
      </c>
      <c r="AM20" s="401">
        <v>2001</v>
      </c>
      <c r="AN20" s="374" t="s">
        <v>177</v>
      </c>
      <c r="AO20" s="401">
        <v>2500</v>
      </c>
      <c r="AP20" s="667">
        <v>16.8</v>
      </c>
      <c r="AQ20" s="667"/>
      <c r="AR20" s="667">
        <v>16.3</v>
      </c>
      <c r="AS20" s="667"/>
      <c r="AT20" s="377">
        <v>12.7</v>
      </c>
      <c r="AU20" s="377">
        <v>12.1</v>
      </c>
      <c r="AV20" s="667">
        <v>14.9</v>
      </c>
      <c r="AW20" s="667"/>
      <c r="AX20" s="384">
        <v>14.5</v>
      </c>
      <c r="AY20" s="379" t="s">
        <v>176</v>
      </c>
      <c r="AZ20" s="402">
        <v>2001</v>
      </c>
      <c r="BA20" s="379" t="s">
        <v>177</v>
      </c>
      <c r="BB20" s="402">
        <v>2500</v>
      </c>
      <c r="BC20" s="669">
        <v>16.7</v>
      </c>
      <c r="BD20" s="669"/>
      <c r="BE20" s="382">
        <v>18.399999999999999</v>
      </c>
      <c r="BF20" s="382">
        <v>12.8</v>
      </c>
      <c r="BG20" s="382">
        <v>12.5</v>
      </c>
      <c r="BH20" s="669">
        <v>15.1</v>
      </c>
      <c r="BI20" s="669"/>
      <c r="BJ20" s="383">
        <v>15.9</v>
      </c>
      <c r="BK20" s="374" t="s">
        <v>176</v>
      </c>
      <c r="BL20" s="401">
        <v>2001</v>
      </c>
      <c r="BM20" s="374" t="s">
        <v>177</v>
      </c>
      <c r="BN20" s="401">
        <v>2500</v>
      </c>
      <c r="BO20" s="667">
        <v>17.5</v>
      </c>
      <c r="BP20" s="667"/>
      <c r="BQ20" s="377">
        <v>16.2</v>
      </c>
      <c r="BR20" s="667">
        <v>15.4</v>
      </c>
      <c r="BS20" s="667"/>
      <c r="BT20" s="377">
        <v>14.3</v>
      </c>
      <c r="BU20" s="377">
        <v>16.600000000000001</v>
      </c>
      <c r="BV20" s="384">
        <v>15.4</v>
      </c>
      <c r="BW20" s="379" t="s">
        <v>176</v>
      </c>
      <c r="BX20" s="402">
        <v>2001</v>
      </c>
      <c r="BY20" s="379" t="s">
        <v>177</v>
      </c>
      <c r="BZ20" s="677">
        <v>2500</v>
      </c>
      <c r="CA20" s="677"/>
      <c r="CB20" s="669">
        <v>15</v>
      </c>
      <c r="CC20" s="669"/>
      <c r="CD20" s="382">
        <v>17.100000000000001</v>
      </c>
      <c r="CE20" s="382">
        <v>17.2</v>
      </c>
      <c r="CF20" s="382">
        <v>17.100000000000001</v>
      </c>
      <c r="CG20" s="382">
        <v>15.9</v>
      </c>
      <c r="CH20" s="383">
        <v>17.100000000000001</v>
      </c>
      <c r="CI20" s="350" t="s">
        <v>176</v>
      </c>
      <c r="CJ20" s="385">
        <v>3501</v>
      </c>
      <c r="CK20" s="309" t="s">
        <v>177</v>
      </c>
      <c r="CL20" s="385">
        <v>4500</v>
      </c>
      <c r="CM20" s="309">
        <v>14.1</v>
      </c>
      <c r="CN20" s="309">
        <v>14.7</v>
      </c>
      <c r="CO20" s="309">
        <v>13.9</v>
      </c>
      <c r="CP20" s="309">
        <v>13</v>
      </c>
      <c r="CQ20" s="309">
        <v>14</v>
      </c>
      <c r="CR20" s="309">
        <v>14</v>
      </c>
      <c r="CS20" s="306" t="s">
        <v>176</v>
      </c>
      <c r="CT20" s="386">
        <v>3501</v>
      </c>
      <c r="CU20" s="306" t="s">
        <v>177</v>
      </c>
      <c r="CV20" s="386">
        <v>4500</v>
      </c>
      <c r="CW20" s="306">
        <v>15</v>
      </c>
      <c r="CX20" s="306">
        <v>14.4</v>
      </c>
      <c r="CY20" s="306">
        <v>13.9</v>
      </c>
      <c r="CZ20" s="306">
        <v>13.9</v>
      </c>
      <c r="DA20" s="306">
        <v>14.6</v>
      </c>
      <c r="DB20" s="306">
        <v>14.2</v>
      </c>
      <c r="DC20" s="309" t="s">
        <v>176</v>
      </c>
      <c r="DD20" s="385">
        <v>6501</v>
      </c>
      <c r="DE20" s="309" t="s">
        <v>177</v>
      </c>
      <c r="DF20" s="385">
        <v>7500</v>
      </c>
      <c r="DG20" s="309">
        <v>7.7</v>
      </c>
      <c r="DH20" s="309">
        <v>8.1</v>
      </c>
      <c r="DI20" s="309">
        <v>4.3</v>
      </c>
      <c r="DJ20" s="309">
        <v>4.0999999999999996</v>
      </c>
      <c r="DK20" s="309">
        <v>6.3</v>
      </c>
      <c r="DL20" s="309">
        <v>6.5</v>
      </c>
      <c r="DM20" s="306" t="s">
        <v>176</v>
      </c>
      <c r="DN20" s="386">
        <v>6501</v>
      </c>
      <c r="DO20" s="306" t="s">
        <v>177</v>
      </c>
      <c r="DP20" s="386">
        <v>7500</v>
      </c>
      <c r="DQ20" s="306">
        <v>5.9</v>
      </c>
      <c r="DR20" s="306">
        <v>6.6</v>
      </c>
      <c r="DS20" s="306">
        <v>5.5</v>
      </c>
      <c r="DT20" s="306">
        <v>5</v>
      </c>
      <c r="DU20" s="306">
        <v>5.8</v>
      </c>
      <c r="DV20" s="306">
        <v>6</v>
      </c>
      <c r="DW20" s="309" t="s">
        <v>176</v>
      </c>
      <c r="DX20" s="385">
        <v>6501</v>
      </c>
      <c r="DY20" s="309" t="s">
        <v>177</v>
      </c>
      <c r="DZ20" s="385">
        <v>7500</v>
      </c>
      <c r="EA20" s="309">
        <v>5.5</v>
      </c>
      <c r="EB20" s="309">
        <v>5.3</v>
      </c>
      <c r="EC20" s="309">
        <v>5.9</v>
      </c>
      <c r="ED20" s="309">
        <v>5.9</v>
      </c>
      <c r="EE20" s="309">
        <v>5.6</v>
      </c>
      <c r="EF20" s="309">
        <v>5.5</v>
      </c>
      <c r="EG20" s="387" t="s">
        <v>190</v>
      </c>
      <c r="EH20" s="388">
        <v>4.9744276292654002</v>
      </c>
      <c r="EI20" s="389">
        <v>5.3453790429080703</v>
      </c>
      <c r="EJ20" s="390">
        <v>5.1402299634924402</v>
      </c>
      <c r="EK20" s="391">
        <v>5.2828056418424598</v>
      </c>
      <c r="EL20" s="392">
        <v>4.9768000819137601</v>
      </c>
      <c r="EM20" s="393">
        <v>6.76832681907129</v>
      </c>
      <c r="EN20" s="394">
        <v>5.8940940719819501</v>
      </c>
      <c r="EO20" s="395">
        <v>5.8060343113187196</v>
      </c>
      <c r="EP20" s="388">
        <v>4.9752912765160202</v>
      </c>
      <c r="EQ20" s="389">
        <v>5.9520081978879098</v>
      </c>
      <c r="ER20" s="390">
        <v>5.4368498057824501</v>
      </c>
      <c r="ES20" s="396">
        <v>5.4914966030612797</v>
      </c>
      <c r="ET20" s="309" t="s">
        <v>176</v>
      </c>
      <c r="EU20" s="385">
        <v>6501</v>
      </c>
      <c r="EV20" s="309" t="s">
        <v>177</v>
      </c>
      <c r="EW20" s="385">
        <v>7500</v>
      </c>
      <c r="EX20" s="309">
        <v>6.7</v>
      </c>
      <c r="EY20" s="309">
        <v>6.8</v>
      </c>
      <c r="EZ20" s="309">
        <v>6.8</v>
      </c>
      <c r="FA20" s="309">
        <v>6.3</v>
      </c>
      <c r="FB20" s="309">
        <v>5.8</v>
      </c>
      <c r="FC20" s="309">
        <v>7.6</v>
      </c>
      <c r="FD20" s="309">
        <v>6.7</v>
      </c>
      <c r="FE20" s="309">
        <v>6.5</v>
      </c>
      <c r="FF20" s="309">
        <v>6.4</v>
      </c>
      <c r="FG20" s="309">
        <v>7.2</v>
      </c>
      <c r="FH20" s="309">
        <v>6.7</v>
      </c>
      <c r="FI20" s="309">
        <v>6.3</v>
      </c>
    </row>
    <row r="21" spans="2:165">
      <c r="B21" s="650" t="s">
        <v>176</v>
      </c>
      <c r="C21" s="650">
        <v>1001</v>
      </c>
      <c r="D21" s="650"/>
      <c r="E21" s="650" t="s">
        <v>177</v>
      </c>
      <c r="F21" s="650">
        <v>1100</v>
      </c>
      <c r="G21" s="400"/>
      <c r="H21" s="400"/>
      <c r="I21" s="647"/>
      <c r="J21" s="645">
        <v>6.7</v>
      </c>
      <c r="K21" s="645">
        <v>6.8</v>
      </c>
      <c r="L21" s="647"/>
      <c r="M21" s="645">
        <v>4.9000000000000004</v>
      </c>
      <c r="N21" s="645">
        <v>5.6</v>
      </c>
      <c r="O21" s="364" t="s">
        <v>176</v>
      </c>
      <c r="P21" s="403">
        <v>2001</v>
      </c>
      <c r="Q21" s="364" t="s">
        <v>177</v>
      </c>
      <c r="R21" s="403">
        <v>2500</v>
      </c>
      <c r="S21" s="663">
        <v>12.1</v>
      </c>
      <c r="T21" s="663"/>
      <c r="U21" s="367">
        <v>10.199999999999999</v>
      </c>
      <c r="V21" s="367">
        <v>7.8</v>
      </c>
      <c r="W21" s="367">
        <v>7.2</v>
      </c>
      <c r="X21" s="663">
        <v>10.199999999999999</v>
      </c>
      <c r="Y21" s="663"/>
      <c r="Z21" s="368">
        <v>8.9</v>
      </c>
      <c r="AA21" s="369" t="s">
        <v>176</v>
      </c>
      <c r="AB21" s="404">
        <v>2001</v>
      </c>
      <c r="AC21" s="369" t="s">
        <v>177</v>
      </c>
      <c r="AD21" s="404">
        <v>2500</v>
      </c>
      <c r="AE21" s="665">
        <v>14.6</v>
      </c>
      <c r="AF21" s="665"/>
      <c r="AG21" s="372">
        <v>13.6</v>
      </c>
      <c r="AH21" s="372">
        <v>11.5</v>
      </c>
      <c r="AI21" s="372">
        <v>9.1999999999999993</v>
      </c>
      <c r="AJ21" s="372">
        <v>13.3</v>
      </c>
      <c r="AK21" s="373">
        <v>11.7</v>
      </c>
      <c r="AL21" s="374" t="s">
        <v>176</v>
      </c>
      <c r="AM21" s="401">
        <v>2501</v>
      </c>
      <c r="AN21" s="374" t="s">
        <v>177</v>
      </c>
      <c r="AO21" s="401">
        <v>3000</v>
      </c>
      <c r="AP21" s="667">
        <v>8.4</v>
      </c>
      <c r="AQ21" s="667"/>
      <c r="AR21" s="667">
        <v>8.4</v>
      </c>
      <c r="AS21" s="667"/>
      <c r="AT21" s="377">
        <v>7</v>
      </c>
      <c r="AU21" s="377">
        <v>6.4</v>
      </c>
      <c r="AV21" s="667">
        <v>7.7</v>
      </c>
      <c r="AW21" s="667"/>
      <c r="AX21" s="378">
        <v>7.5</v>
      </c>
      <c r="AY21" s="379" t="s">
        <v>176</v>
      </c>
      <c r="AZ21" s="402">
        <v>2501</v>
      </c>
      <c r="BA21" s="379" t="s">
        <v>177</v>
      </c>
      <c r="BB21" s="402">
        <v>3000</v>
      </c>
      <c r="BC21" s="669">
        <v>10.199999999999999</v>
      </c>
      <c r="BD21" s="669"/>
      <c r="BE21" s="382">
        <v>9.1</v>
      </c>
      <c r="BF21" s="382">
        <v>9.1999999999999993</v>
      </c>
      <c r="BG21" s="382">
        <v>8.4</v>
      </c>
      <c r="BH21" s="669">
        <v>9.8000000000000007</v>
      </c>
      <c r="BI21" s="669"/>
      <c r="BJ21" s="383">
        <v>8.8000000000000007</v>
      </c>
      <c r="BK21" s="374" t="s">
        <v>176</v>
      </c>
      <c r="BL21" s="401">
        <v>2501</v>
      </c>
      <c r="BM21" s="374" t="s">
        <v>177</v>
      </c>
      <c r="BN21" s="401">
        <v>3000</v>
      </c>
      <c r="BO21" s="667">
        <v>13</v>
      </c>
      <c r="BP21" s="667"/>
      <c r="BQ21" s="377">
        <v>13.6</v>
      </c>
      <c r="BR21" s="667">
        <v>10.6</v>
      </c>
      <c r="BS21" s="667"/>
      <c r="BT21" s="377">
        <v>13</v>
      </c>
      <c r="BU21" s="377">
        <v>12</v>
      </c>
      <c r="BV21" s="384">
        <v>13.3</v>
      </c>
      <c r="BW21" s="379" t="s">
        <v>176</v>
      </c>
      <c r="BX21" s="402">
        <v>2501</v>
      </c>
      <c r="BY21" s="379" t="s">
        <v>177</v>
      </c>
      <c r="BZ21" s="677">
        <v>3000</v>
      </c>
      <c r="CA21" s="677"/>
      <c r="CB21" s="669">
        <v>13.4</v>
      </c>
      <c r="CC21" s="669"/>
      <c r="CD21" s="382">
        <v>13.9</v>
      </c>
      <c r="CE21" s="382">
        <v>11.9</v>
      </c>
      <c r="CF21" s="382">
        <v>11.3</v>
      </c>
      <c r="CG21" s="382">
        <v>12.8</v>
      </c>
      <c r="CH21" s="383">
        <v>12.8</v>
      </c>
      <c r="CI21" s="350" t="s">
        <v>176</v>
      </c>
      <c r="CJ21" s="385">
        <v>4501</v>
      </c>
      <c r="CK21" s="309" t="s">
        <v>177</v>
      </c>
      <c r="CL21" s="385">
        <v>5500</v>
      </c>
      <c r="CM21" s="309">
        <v>7.9</v>
      </c>
      <c r="CN21" s="309">
        <v>9.8000000000000007</v>
      </c>
      <c r="CO21" s="309">
        <v>7.3</v>
      </c>
      <c r="CP21" s="309">
        <v>6.5</v>
      </c>
      <c r="CQ21" s="309">
        <v>7.6</v>
      </c>
      <c r="CR21" s="309">
        <v>8.4</v>
      </c>
      <c r="CS21" s="306" t="s">
        <v>176</v>
      </c>
      <c r="CT21" s="386">
        <v>4501</v>
      </c>
      <c r="CU21" s="306" t="s">
        <v>177</v>
      </c>
      <c r="CV21" s="386">
        <v>5500</v>
      </c>
      <c r="CW21" s="306">
        <v>9.6999999999999993</v>
      </c>
      <c r="CX21" s="306">
        <v>8.6999999999999993</v>
      </c>
      <c r="CY21" s="306">
        <v>7.3</v>
      </c>
      <c r="CZ21" s="306">
        <v>7.3</v>
      </c>
      <c r="DA21" s="306">
        <v>8.6999999999999993</v>
      </c>
      <c r="DB21" s="306">
        <v>8.1</v>
      </c>
      <c r="DC21" s="309" t="s">
        <v>176</v>
      </c>
      <c r="DD21" s="385">
        <v>7501</v>
      </c>
      <c r="DE21" s="309" t="s">
        <v>177</v>
      </c>
      <c r="DF21" s="385">
        <v>8500</v>
      </c>
      <c r="DG21" s="309">
        <v>7.6</v>
      </c>
      <c r="DH21" s="309">
        <v>6.8</v>
      </c>
      <c r="DI21" s="309">
        <v>3</v>
      </c>
      <c r="DJ21" s="309">
        <v>2.9</v>
      </c>
      <c r="DK21" s="309">
        <v>5.7</v>
      </c>
      <c r="DL21" s="309">
        <v>5.2</v>
      </c>
      <c r="DM21" s="306" t="s">
        <v>176</v>
      </c>
      <c r="DN21" s="386">
        <v>7501</v>
      </c>
      <c r="DO21" s="306" t="s">
        <v>177</v>
      </c>
      <c r="DP21" s="386">
        <v>8500</v>
      </c>
      <c r="DQ21" s="306">
        <v>9.1</v>
      </c>
      <c r="DR21" s="306">
        <v>8.6</v>
      </c>
      <c r="DS21" s="306">
        <v>3.2</v>
      </c>
      <c r="DT21" s="306">
        <v>3.1</v>
      </c>
      <c r="DU21" s="306">
        <v>6.7</v>
      </c>
      <c r="DV21" s="306">
        <v>6.5</v>
      </c>
      <c r="DW21" s="309" t="s">
        <v>176</v>
      </c>
      <c r="DX21" s="385">
        <v>7501</v>
      </c>
      <c r="DY21" s="309" t="s">
        <v>177</v>
      </c>
      <c r="DZ21" s="385">
        <v>8500</v>
      </c>
      <c r="EA21" s="309">
        <v>6.9</v>
      </c>
      <c r="EB21" s="309">
        <v>7</v>
      </c>
      <c r="EC21" s="309">
        <v>4.0999999999999996</v>
      </c>
      <c r="ED21" s="309">
        <v>3.7</v>
      </c>
      <c r="EE21" s="309">
        <v>5.7</v>
      </c>
      <c r="EF21" s="309">
        <v>5.7</v>
      </c>
      <c r="EG21" s="387" t="s">
        <v>191</v>
      </c>
      <c r="EH21" s="388">
        <v>6.8076797315055302</v>
      </c>
      <c r="EI21" s="389">
        <v>6.7957496507660302</v>
      </c>
      <c r="EJ21" s="390">
        <v>6.8023474018219696</v>
      </c>
      <c r="EK21" s="391">
        <v>6.7839624069362703</v>
      </c>
      <c r="EL21" s="392">
        <v>3.9911403797134102</v>
      </c>
      <c r="EM21" s="393">
        <v>5.5341266865604197</v>
      </c>
      <c r="EN21" s="394">
        <v>4.7811771883596101</v>
      </c>
      <c r="EO21" s="395">
        <v>4.6831452976740398</v>
      </c>
      <c r="EP21" s="388">
        <v>5.7823709780887897</v>
      </c>
      <c r="EQ21" s="389">
        <v>6.2578962695668698</v>
      </c>
      <c r="ER21" s="390">
        <v>6.0070857847651498</v>
      </c>
      <c r="ES21" s="396">
        <v>5.9463111212801198</v>
      </c>
      <c r="ET21" s="309" t="s">
        <v>176</v>
      </c>
      <c r="EU21" s="385">
        <v>7501</v>
      </c>
      <c r="EV21" s="309" t="s">
        <v>177</v>
      </c>
      <c r="EW21" s="385">
        <v>8500</v>
      </c>
      <c r="EX21" s="309">
        <v>4.7</v>
      </c>
      <c r="EY21" s="309">
        <v>5.2</v>
      </c>
      <c r="EZ21" s="309">
        <v>4.9000000000000004</v>
      </c>
      <c r="FA21" s="309">
        <v>5.5</v>
      </c>
      <c r="FB21" s="309">
        <v>4</v>
      </c>
      <c r="FC21" s="309">
        <v>6</v>
      </c>
      <c r="FD21" s="309">
        <v>5</v>
      </c>
      <c r="FE21" s="309">
        <v>4.9000000000000004</v>
      </c>
      <c r="FF21" s="309">
        <v>4.4000000000000004</v>
      </c>
      <c r="FG21" s="309">
        <v>5.5</v>
      </c>
      <c r="FH21" s="309">
        <v>5</v>
      </c>
      <c r="FI21" s="309">
        <v>5.4</v>
      </c>
    </row>
    <row r="22" spans="2:165">
      <c r="B22" s="650"/>
      <c r="C22" s="650"/>
      <c r="D22" s="650"/>
      <c r="E22" s="650"/>
      <c r="F22" s="650"/>
      <c r="G22" s="363">
        <v>3.5</v>
      </c>
      <c r="H22" s="363">
        <v>4.5999999999999996</v>
      </c>
      <c r="I22" s="647"/>
      <c r="J22" s="645"/>
      <c r="K22" s="645"/>
      <c r="L22" s="647"/>
      <c r="M22" s="645"/>
      <c r="N22" s="645"/>
      <c r="O22" s="364" t="s">
        <v>176</v>
      </c>
      <c r="P22" s="403">
        <v>2501</v>
      </c>
      <c r="Q22" s="364" t="s">
        <v>177</v>
      </c>
      <c r="R22" s="403">
        <v>3000</v>
      </c>
      <c r="S22" s="663">
        <v>5.5</v>
      </c>
      <c r="T22" s="663"/>
      <c r="U22" s="367">
        <v>5.0999999999999996</v>
      </c>
      <c r="V22" s="367">
        <v>4</v>
      </c>
      <c r="W22" s="367">
        <v>3.9</v>
      </c>
      <c r="X22" s="663">
        <v>4.9000000000000004</v>
      </c>
      <c r="Y22" s="663"/>
      <c r="Z22" s="368">
        <v>4.5</v>
      </c>
      <c r="AA22" s="369" t="s">
        <v>176</v>
      </c>
      <c r="AB22" s="404">
        <v>2501</v>
      </c>
      <c r="AC22" s="369" t="s">
        <v>177</v>
      </c>
      <c r="AD22" s="404">
        <v>3000</v>
      </c>
      <c r="AE22" s="665">
        <v>9</v>
      </c>
      <c r="AF22" s="665"/>
      <c r="AG22" s="372">
        <v>7.7</v>
      </c>
      <c r="AH22" s="372">
        <v>5.6</v>
      </c>
      <c r="AI22" s="372">
        <v>4.7</v>
      </c>
      <c r="AJ22" s="372">
        <v>7.5</v>
      </c>
      <c r="AK22" s="373">
        <v>6.4</v>
      </c>
      <c r="AL22" s="374" t="s">
        <v>176</v>
      </c>
      <c r="AM22" s="401">
        <v>3001</v>
      </c>
      <c r="AN22" s="374" t="s">
        <v>177</v>
      </c>
      <c r="AO22" s="401">
        <v>3500</v>
      </c>
      <c r="AP22" s="667">
        <v>5.2</v>
      </c>
      <c r="AQ22" s="667"/>
      <c r="AR22" s="667">
        <v>4.8</v>
      </c>
      <c r="AS22" s="667"/>
      <c r="AT22" s="377">
        <v>4.0999999999999996</v>
      </c>
      <c r="AU22" s="377">
        <v>3.9</v>
      </c>
      <c r="AV22" s="667">
        <v>4.9000000000000004</v>
      </c>
      <c r="AW22" s="667"/>
      <c r="AX22" s="378">
        <v>4.4000000000000004</v>
      </c>
      <c r="AY22" s="379" t="s">
        <v>176</v>
      </c>
      <c r="AZ22" s="402">
        <v>3001</v>
      </c>
      <c r="BA22" s="379" t="s">
        <v>177</v>
      </c>
      <c r="BB22" s="402">
        <v>3500</v>
      </c>
      <c r="BC22" s="669">
        <v>6.1</v>
      </c>
      <c r="BD22" s="669"/>
      <c r="BE22" s="382">
        <v>5.9</v>
      </c>
      <c r="BF22" s="382">
        <v>5</v>
      </c>
      <c r="BG22" s="382">
        <v>4.9000000000000004</v>
      </c>
      <c r="BH22" s="669">
        <v>5.6</v>
      </c>
      <c r="BI22" s="669"/>
      <c r="BJ22" s="383">
        <v>5.5</v>
      </c>
      <c r="BK22" s="374" t="s">
        <v>176</v>
      </c>
      <c r="BL22" s="401">
        <v>3001</v>
      </c>
      <c r="BM22" s="374" t="s">
        <v>177</v>
      </c>
      <c r="BN22" s="401">
        <v>3500</v>
      </c>
      <c r="BO22" s="667">
        <v>7.2</v>
      </c>
      <c r="BP22" s="667"/>
      <c r="BQ22" s="377">
        <v>8.9</v>
      </c>
      <c r="BR22" s="667">
        <v>5.3</v>
      </c>
      <c r="BS22" s="667"/>
      <c r="BT22" s="377">
        <v>6.7</v>
      </c>
      <c r="BU22" s="377">
        <v>6.4</v>
      </c>
      <c r="BV22" s="384">
        <v>8</v>
      </c>
      <c r="BW22" s="379" t="s">
        <v>176</v>
      </c>
      <c r="BX22" s="402">
        <v>3001</v>
      </c>
      <c r="BY22" s="379" t="s">
        <v>177</v>
      </c>
      <c r="BZ22" s="677">
        <v>3500</v>
      </c>
      <c r="CA22" s="677"/>
      <c r="CB22" s="669">
        <v>8.9</v>
      </c>
      <c r="CC22" s="669"/>
      <c r="CD22" s="382">
        <v>9</v>
      </c>
      <c r="CE22" s="382">
        <v>7.8</v>
      </c>
      <c r="CF22" s="382">
        <v>6.7</v>
      </c>
      <c r="CG22" s="382">
        <v>8.4</v>
      </c>
      <c r="CH22" s="383">
        <v>8.1</v>
      </c>
      <c r="CI22" s="350" t="s">
        <v>176</v>
      </c>
      <c r="CJ22" s="385">
        <v>5501</v>
      </c>
      <c r="CK22" s="309" t="s">
        <v>177</v>
      </c>
      <c r="CL22" s="385">
        <v>6500</v>
      </c>
      <c r="CM22" s="309">
        <v>6.9</v>
      </c>
      <c r="CN22" s="309">
        <v>5.2</v>
      </c>
      <c r="CO22" s="309">
        <v>4.8</v>
      </c>
      <c r="CP22" s="309">
        <v>4.3</v>
      </c>
      <c r="CQ22" s="309">
        <v>6.1</v>
      </c>
      <c r="CR22" s="309">
        <v>4.8</v>
      </c>
      <c r="CS22" s="306" t="s">
        <v>176</v>
      </c>
      <c r="CT22" s="386">
        <v>5501</v>
      </c>
      <c r="CU22" s="306" t="s">
        <v>177</v>
      </c>
      <c r="CV22" s="386">
        <v>6500</v>
      </c>
      <c r="CW22" s="306">
        <v>7.5</v>
      </c>
      <c r="CX22" s="306">
        <v>8.3000000000000007</v>
      </c>
      <c r="CY22" s="306">
        <v>4.8</v>
      </c>
      <c r="CZ22" s="306">
        <v>4.8</v>
      </c>
      <c r="DA22" s="306">
        <v>6.5</v>
      </c>
      <c r="DB22" s="306">
        <v>6.9</v>
      </c>
      <c r="DC22" s="309" t="s">
        <v>176</v>
      </c>
      <c r="DD22" s="385">
        <v>8501</v>
      </c>
      <c r="DE22" s="309" t="s">
        <v>177</v>
      </c>
      <c r="DF22" s="385">
        <v>9500</v>
      </c>
      <c r="DG22" s="309">
        <v>3.4</v>
      </c>
      <c r="DH22" s="309">
        <v>3.2</v>
      </c>
      <c r="DI22" s="309">
        <v>2.1</v>
      </c>
      <c r="DJ22" s="309">
        <v>1.8</v>
      </c>
      <c r="DK22" s="309">
        <v>2.9</v>
      </c>
      <c r="DL22" s="309">
        <v>2.7</v>
      </c>
      <c r="DM22" s="306" t="s">
        <v>176</v>
      </c>
      <c r="DN22" s="386">
        <v>8501</v>
      </c>
      <c r="DO22" s="306" t="s">
        <v>177</v>
      </c>
      <c r="DP22" s="386">
        <v>9500</v>
      </c>
      <c r="DQ22" s="306">
        <v>4.4000000000000004</v>
      </c>
      <c r="DR22" s="306">
        <v>3.8</v>
      </c>
      <c r="DS22" s="306">
        <v>2.5</v>
      </c>
      <c r="DT22" s="306">
        <v>2.2999999999999998</v>
      </c>
      <c r="DU22" s="306">
        <v>3.6</v>
      </c>
      <c r="DV22" s="306">
        <v>3.3</v>
      </c>
      <c r="DW22" s="309" t="s">
        <v>176</v>
      </c>
      <c r="DX22" s="385">
        <v>8501</v>
      </c>
      <c r="DY22" s="309" t="s">
        <v>177</v>
      </c>
      <c r="DZ22" s="385">
        <v>9500</v>
      </c>
      <c r="EA22" s="309">
        <v>8.8000000000000007</v>
      </c>
      <c r="EB22" s="309">
        <v>8</v>
      </c>
      <c r="EC22" s="309">
        <v>2.9</v>
      </c>
      <c r="ED22" s="309">
        <v>2.8</v>
      </c>
      <c r="EE22" s="309">
        <v>6.4</v>
      </c>
      <c r="EF22" s="309">
        <v>6</v>
      </c>
      <c r="EG22" s="387" t="s">
        <v>192</v>
      </c>
      <c r="EH22" s="388">
        <v>5.5787252682168402</v>
      </c>
      <c r="EI22" s="389">
        <v>6.4194166456744597</v>
      </c>
      <c r="EJ22" s="390">
        <v>5.9544849704868801</v>
      </c>
      <c r="EK22" s="391">
        <v>6.5937484234120598</v>
      </c>
      <c r="EL22" s="392">
        <v>3.0162588043823901</v>
      </c>
      <c r="EM22" s="393">
        <v>3.1951556489180799</v>
      </c>
      <c r="EN22" s="394">
        <v>3.1078572142365002</v>
      </c>
      <c r="EO22" s="395">
        <v>3.0477143066414598</v>
      </c>
      <c r="EP22" s="388">
        <v>4.6459070230058899</v>
      </c>
      <c r="EQ22" s="389">
        <v>5.0448540955500603</v>
      </c>
      <c r="ER22" s="390">
        <v>4.8344339339556903</v>
      </c>
      <c r="ES22" s="396">
        <v>5.1798050497775696</v>
      </c>
      <c r="ET22" s="309" t="s">
        <v>176</v>
      </c>
      <c r="EU22" s="385">
        <v>8501</v>
      </c>
      <c r="EV22" s="309" t="s">
        <v>177</v>
      </c>
      <c r="EW22" s="385">
        <v>9500</v>
      </c>
      <c r="EX22" s="309">
        <v>6.3</v>
      </c>
      <c r="EY22" s="309">
        <v>7.3</v>
      </c>
      <c r="EZ22" s="309">
        <v>6.7</v>
      </c>
      <c r="FA22" s="309">
        <v>6.4</v>
      </c>
      <c r="FB22" s="309">
        <v>3</v>
      </c>
      <c r="FC22" s="309">
        <v>3.4</v>
      </c>
      <c r="FD22" s="309">
        <v>3.2</v>
      </c>
      <c r="FE22" s="309">
        <v>3.1</v>
      </c>
      <c r="FF22" s="309">
        <v>5.0999999999999996</v>
      </c>
      <c r="FG22" s="309">
        <v>5.6</v>
      </c>
      <c r="FH22" s="309">
        <v>5.3</v>
      </c>
      <c r="FI22" s="309">
        <v>5</v>
      </c>
    </row>
    <row r="23" spans="2:165">
      <c r="B23" s="650" t="s">
        <v>176</v>
      </c>
      <c r="C23" s="650">
        <v>1101</v>
      </c>
      <c r="D23" s="650"/>
      <c r="E23" s="650" t="s">
        <v>177</v>
      </c>
      <c r="F23" s="650">
        <v>1200</v>
      </c>
      <c r="G23" s="400"/>
      <c r="H23" s="400"/>
      <c r="I23" s="647"/>
      <c r="J23" s="645">
        <v>8.6999999999999993</v>
      </c>
      <c r="K23" s="645">
        <v>8.8000000000000007</v>
      </c>
      <c r="L23" s="647"/>
      <c r="M23" s="645">
        <v>9.1999999999999993</v>
      </c>
      <c r="N23" s="645">
        <v>9.8000000000000007</v>
      </c>
      <c r="O23" s="364" t="s">
        <v>176</v>
      </c>
      <c r="P23" s="403">
        <v>3001</v>
      </c>
      <c r="Q23" s="364" t="s">
        <v>177</v>
      </c>
      <c r="R23" s="403">
        <v>3500</v>
      </c>
      <c r="S23" s="663">
        <v>3.4</v>
      </c>
      <c r="T23" s="663"/>
      <c r="U23" s="367">
        <v>3.6</v>
      </c>
      <c r="V23" s="367">
        <v>3.2</v>
      </c>
      <c r="W23" s="367">
        <v>3</v>
      </c>
      <c r="X23" s="663">
        <v>3.3</v>
      </c>
      <c r="Y23" s="663"/>
      <c r="Z23" s="368">
        <v>3.3</v>
      </c>
      <c r="AA23" s="369" t="s">
        <v>176</v>
      </c>
      <c r="AB23" s="404">
        <v>3001</v>
      </c>
      <c r="AC23" s="369" t="s">
        <v>177</v>
      </c>
      <c r="AD23" s="404">
        <v>3500</v>
      </c>
      <c r="AE23" s="665">
        <v>4.4000000000000004</v>
      </c>
      <c r="AF23" s="665"/>
      <c r="AG23" s="372">
        <v>3.8</v>
      </c>
      <c r="AH23" s="372">
        <v>3.7</v>
      </c>
      <c r="AI23" s="372">
        <v>3.4</v>
      </c>
      <c r="AJ23" s="372">
        <v>4.0999999999999996</v>
      </c>
      <c r="AK23" s="373">
        <v>3.7</v>
      </c>
      <c r="AL23" s="374" t="s">
        <v>176</v>
      </c>
      <c r="AM23" s="401">
        <v>3501</v>
      </c>
      <c r="AN23" s="374" t="s">
        <v>177</v>
      </c>
      <c r="AO23" s="401">
        <v>4500</v>
      </c>
      <c r="AP23" s="667">
        <v>6.3</v>
      </c>
      <c r="AQ23" s="667"/>
      <c r="AR23" s="667">
        <v>6.6</v>
      </c>
      <c r="AS23" s="667"/>
      <c r="AT23" s="377">
        <v>5.9</v>
      </c>
      <c r="AU23" s="377">
        <v>5.7</v>
      </c>
      <c r="AV23" s="667">
        <v>6.4</v>
      </c>
      <c r="AW23" s="667"/>
      <c r="AX23" s="378">
        <v>6.2</v>
      </c>
      <c r="AY23" s="379" t="s">
        <v>176</v>
      </c>
      <c r="AZ23" s="402">
        <v>3501</v>
      </c>
      <c r="BA23" s="379" t="s">
        <v>177</v>
      </c>
      <c r="BB23" s="402">
        <v>4500</v>
      </c>
      <c r="BC23" s="669">
        <v>8.5</v>
      </c>
      <c r="BD23" s="669"/>
      <c r="BE23" s="382">
        <v>7.6</v>
      </c>
      <c r="BF23" s="382">
        <v>6.8</v>
      </c>
      <c r="BG23" s="382">
        <v>6.5</v>
      </c>
      <c r="BH23" s="669">
        <v>7.8</v>
      </c>
      <c r="BI23" s="669"/>
      <c r="BJ23" s="383">
        <v>7.2</v>
      </c>
      <c r="BK23" s="374" t="s">
        <v>176</v>
      </c>
      <c r="BL23" s="401">
        <v>3501</v>
      </c>
      <c r="BM23" s="374" t="s">
        <v>177</v>
      </c>
      <c r="BN23" s="401">
        <v>4500</v>
      </c>
      <c r="BO23" s="667">
        <v>10.4</v>
      </c>
      <c r="BP23" s="667"/>
      <c r="BQ23" s="377">
        <v>10.3</v>
      </c>
      <c r="BR23" s="667">
        <v>7.1</v>
      </c>
      <c r="BS23" s="667"/>
      <c r="BT23" s="377">
        <v>7.7</v>
      </c>
      <c r="BU23" s="377">
        <v>9</v>
      </c>
      <c r="BV23" s="384">
        <v>9.1999999999999993</v>
      </c>
      <c r="BW23" s="379" t="s">
        <v>176</v>
      </c>
      <c r="BX23" s="402">
        <v>3501</v>
      </c>
      <c r="BY23" s="379" t="s">
        <v>177</v>
      </c>
      <c r="BZ23" s="677">
        <v>4500</v>
      </c>
      <c r="CA23" s="677"/>
      <c r="CB23" s="669">
        <v>13</v>
      </c>
      <c r="CC23" s="669"/>
      <c r="CD23" s="382">
        <v>11.4</v>
      </c>
      <c r="CE23" s="382">
        <v>9.9</v>
      </c>
      <c r="CF23" s="382">
        <v>8.1</v>
      </c>
      <c r="CG23" s="382">
        <v>11.8</v>
      </c>
      <c r="CH23" s="383">
        <v>10</v>
      </c>
      <c r="CI23" s="350" t="s">
        <v>176</v>
      </c>
      <c r="CJ23" s="385">
        <v>6501</v>
      </c>
      <c r="CK23" s="309" t="s">
        <v>177</v>
      </c>
      <c r="CL23" s="385">
        <v>7500</v>
      </c>
      <c r="CM23" s="309">
        <v>7.6</v>
      </c>
      <c r="CN23" s="309">
        <v>6</v>
      </c>
      <c r="CO23" s="309">
        <v>2.5</v>
      </c>
      <c r="CP23" s="309">
        <v>2.2999999999999998</v>
      </c>
      <c r="CQ23" s="309">
        <v>5.5</v>
      </c>
      <c r="CR23" s="309">
        <v>4.5</v>
      </c>
      <c r="CS23" s="306" t="s">
        <v>176</v>
      </c>
      <c r="CT23" s="386">
        <v>6501</v>
      </c>
      <c r="CU23" s="306" t="s">
        <v>177</v>
      </c>
      <c r="CV23" s="386">
        <v>7500</v>
      </c>
      <c r="CW23" s="306">
        <v>8.1</v>
      </c>
      <c r="CX23" s="306">
        <v>7.2</v>
      </c>
      <c r="CY23" s="306">
        <v>2.5</v>
      </c>
      <c r="CZ23" s="306">
        <v>2.5</v>
      </c>
      <c r="DA23" s="306">
        <v>5.9</v>
      </c>
      <c r="DB23" s="306">
        <v>5.4</v>
      </c>
      <c r="DC23" s="309" t="s">
        <v>176</v>
      </c>
      <c r="DD23" s="385">
        <v>9501</v>
      </c>
      <c r="DE23" s="309" t="s">
        <v>177</v>
      </c>
      <c r="DF23" s="385">
        <v>10500</v>
      </c>
      <c r="DG23" s="309">
        <v>2.2999999999999998</v>
      </c>
      <c r="DH23" s="309">
        <v>2.2000000000000002</v>
      </c>
      <c r="DI23" s="309">
        <v>1.3</v>
      </c>
      <c r="DJ23" s="309">
        <v>1.3</v>
      </c>
      <c r="DK23" s="309">
        <v>1.9</v>
      </c>
      <c r="DL23" s="309">
        <v>1.8</v>
      </c>
      <c r="DM23" s="306" t="s">
        <v>176</v>
      </c>
      <c r="DN23" s="386">
        <v>9501</v>
      </c>
      <c r="DO23" s="306" t="s">
        <v>177</v>
      </c>
      <c r="DP23" s="386">
        <v>10500</v>
      </c>
      <c r="DQ23" s="306">
        <v>2.2000000000000002</v>
      </c>
      <c r="DR23" s="306">
        <v>2.2000000000000002</v>
      </c>
      <c r="DS23" s="306">
        <v>1.5</v>
      </c>
      <c r="DT23" s="306">
        <v>1.4</v>
      </c>
      <c r="DU23" s="306">
        <v>1.9</v>
      </c>
      <c r="DV23" s="306">
        <v>1.9</v>
      </c>
      <c r="DW23" s="309" t="s">
        <v>176</v>
      </c>
      <c r="DX23" s="385">
        <v>9501</v>
      </c>
      <c r="DY23" s="309" t="s">
        <v>177</v>
      </c>
      <c r="DZ23" s="385">
        <v>10500</v>
      </c>
      <c r="EA23" s="309">
        <v>3.4</v>
      </c>
      <c r="EB23" s="309">
        <v>3.1</v>
      </c>
      <c r="EC23" s="309">
        <v>2.1</v>
      </c>
      <c r="ED23" s="309">
        <v>2</v>
      </c>
      <c r="EE23" s="309">
        <v>2.8</v>
      </c>
      <c r="EF23" s="309">
        <v>2.6</v>
      </c>
      <c r="EG23" s="387" t="s">
        <v>193</v>
      </c>
      <c r="EH23" s="388">
        <v>6.1691416444052303</v>
      </c>
      <c r="EI23" s="389">
        <v>6.1720902893870999</v>
      </c>
      <c r="EJ23" s="390">
        <v>6.1704595857927602</v>
      </c>
      <c r="EK23" s="391">
        <v>5.7529928143626297</v>
      </c>
      <c r="EL23" s="392">
        <v>1.86623266742473</v>
      </c>
      <c r="EM23" s="393">
        <v>2.2557665343269901</v>
      </c>
      <c r="EN23" s="394">
        <v>2.06568103044743</v>
      </c>
      <c r="EO23" s="395">
        <v>2.0372141728658799</v>
      </c>
      <c r="EP23" s="388">
        <v>4.6027476806758001</v>
      </c>
      <c r="EQ23" s="389">
        <v>4.5024884881421903</v>
      </c>
      <c r="ER23" s="390">
        <v>4.55536907543339</v>
      </c>
      <c r="ES23" s="396">
        <v>4.2713546934435103</v>
      </c>
      <c r="ET23" s="309" t="s">
        <v>176</v>
      </c>
      <c r="EU23" s="385">
        <v>9501</v>
      </c>
      <c r="EV23" s="309" t="s">
        <v>177</v>
      </c>
      <c r="EW23" s="385">
        <v>10500</v>
      </c>
      <c r="EX23" s="309">
        <v>5.0999999999999996</v>
      </c>
      <c r="EY23" s="309">
        <v>5.5</v>
      </c>
      <c r="EZ23" s="309">
        <v>5.3</v>
      </c>
      <c r="FA23" s="309">
        <v>5.7</v>
      </c>
      <c r="FB23" s="309">
        <v>2.4</v>
      </c>
      <c r="FC23" s="309">
        <v>2.6</v>
      </c>
      <c r="FD23" s="309">
        <v>2.5</v>
      </c>
      <c r="FE23" s="309">
        <v>2.2999999999999998</v>
      </c>
      <c r="FF23" s="309">
        <v>4.0999999999999996</v>
      </c>
      <c r="FG23" s="309">
        <v>4.3</v>
      </c>
      <c r="FH23" s="309">
        <v>4.2</v>
      </c>
      <c r="FI23" s="309">
        <v>4.4000000000000004</v>
      </c>
    </row>
    <row r="24" spans="2:165">
      <c r="B24" s="650"/>
      <c r="C24" s="650"/>
      <c r="D24" s="650"/>
      <c r="E24" s="650"/>
      <c r="F24" s="650"/>
      <c r="G24" s="363">
        <v>9.5</v>
      </c>
      <c r="H24" s="363">
        <v>10.6</v>
      </c>
      <c r="I24" s="647"/>
      <c r="J24" s="645"/>
      <c r="K24" s="645"/>
      <c r="L24" s="647"/>
      <c r="M24" s="645"/>
      <c r="N24" s="645"/>
      <c r="O24" s="364" t="s">
        <v>176</v>
      </c>
      <c r="P24" s="403">
        <v>3501</v>
      </c>
      <c r="Q24" s="364" t="s">
        <v>177</v>
      </c>
      <c r="R24" s="403">
        <v>4500</v>
      </c>
      <c r="S24" s="663">
        <v>7.5</v>
      </c>
      <c r="T24" s="663"/>
      <c r="U24" s="367">
        <v>7.3</v>
      </c>
      <c r="V24" s="367">
        <v>4.3</v>
      </c>
      <c r="W24" s="367">
        <v>4</v>
      </c>
      <c r="X24" s="663">
        <v>6.1</v>
      </c>
      <c r="Y24" s="663"/>
      <c r="Z24" s="368">
        <v>5.8</v>
      </c>
      <c r="AA24" s="369" t="s">
        <v>176</v>
      </c>
      <c r="AB24" s="404">
        <v>3501</v>
      </c>
      <c r="AC24" s="369" t="s">
        <v>177</v>
      </c>
      <c r="AD24" s="404">
        <v>4500</v>
      </c>
      <c r="AE24" s="665">
        <v>6.8</v>
      </c>
      <c r="AF24" s="665"/>
      <c r="AG24" s="372">
        <v>7.3</v>
      </c>
      <c r="AH24" s="372">
        <v>5.2</v>
      </c>
      <c r="AI24" s="372">
        <v>4.7</v>
      </c>
      <c r="AJ24" s="372">
        <v>6.1</v>
      </c>
      <c r="AK24" s="373">
        <v>6.2</v>
      </c>
      <c r="AL24" s="374" t="s">
        <v>176</v>
      </c>
      <c r="AM24" s="401">
        <v>4501</v>
      </c>
      <c r="AN24" s="374" t="s">
        <v>177</v>
      </c>
      <c r="AO24" s="401">
        <v>5500</v>
      </c>
      <c r="AP24" s="667">
        <v>6.3</v>
      </c>
      <c r="AQ24" s="667"/>
      <c r="AR24" s="667">
        <v>5.8</v>
      </c>
      <c r="AS24" s="667"/>
      <c r="AT24" s="377">
        <v>2.9</v>
      </c>
      <c r="AU24" s="377">
        <v>2.6</v>
      </c>
      <c r="AV24" s="667">
        <v>4.9000000000000004</v>
      </c>
      <c r="AW24" s="667"/>
      <c r="AX24" s="378">
        <v>4.4000000000000004</v>
      </c>
      <c r="AY24" s="379" t="s">
        <v>176</v>
      </c>
      <c r="AZ24" s="402">
        <v>4501</v>
      </c>
      <c r="BA24" s="379" t="s">
        <v>177</v>
      </c>
      <c r="BB24" s="402">
        <v>5500</v>
      </c>
      <c r="BC24" s="669">
        <v>3.7</v>
      </c>
      <c r="BD24" s="669"/>
      <c r="BE24" s="382">
        <v>4.9000000000000004</v>
      </c>
      <c r="BF24" s="382">
        <v>3.2</v>
      </c>
      <c r="BG24" s="382">
        <v>3.1</v>
      </c>
      <c r="BH24" s="669">
        <v>3.5</v>
      </c>
      <c r="BI24" s="669"/>
      <c r="BJ24" s="383">
        <v>4.0999999999999996</v>
      </c>
      <c r="BK24" s="374" t="s">
        <v>176</v>
      </c>
      <c r="BL24" s="401">
        <v>4501</v>
      </c>
      <c r="BM24" s="374" t="s">
        <v>177</v>
      </c>
      <c r="BN24" s="401">
        <v>5500</v>
      </c>
      <c r="BO24" s="667">
        <v>4.4000000000000004</v>
      </c>
      <c r="BP24" s="667"/>
      <c r="BQ24" s="377">
        <v>4.4000000000000004</v>
      </c>
      <c r="BR24" s="667">
        <v>3.7</v>
      </c>
      <c r="BS24" s="667"/>
      <c r="BT24" s="377">
        <v>3.8</v>
      </c>
      <c r="BU24" s="377">
        <v>4.0999999999999996</v>
      </c>
      <c r="BV24" s="384">
        <v>4.2</v>
      </c>
      <c r="BW24" s="379" t="s">
        <v>176</v>
      </c>
      <c r="BX24" s="402">
        <v>4501</v>
      </c>
      <c r="BY24" s="379" t="s">
        <v>177</v>
      </c>
      <c r="BZ24" s="677">
        <v>5500</v>
      </c>
      <c r="CA24" s="677"/>
      <c r="CB24" s="669">
        <v>8.4</v>
      </c>
      <c r="CC24" s="669"/>
      <c r="CD24" s="382">
        <v>5.9</v>
      </c>
      <c r="CE24" s="382">
        <v>5.5</v>
      </c>
      <c r="CF24" s="382">
        <v>4.5</v>
      </c>
      <c r="CG24" s="382">
        <v>7.2</v>
      </c>
      <c r="CH24" s="383">
        <v>5.3</v>
      </c>
      <c r="CI24" s="350" t="s">
        <v>176</v>
      </c>
      <c r="CJ24" s="385">
        <v>7501</v>
      </c>
      <c r="CK24" s="309" t="s">
        <v>177</v>
      </c>
      <c r="CL24" s="385">
        <v>8500</v>
      </c>
      <c r="CM24" s="309">
        <v>3.4</v>
      </c>
      <c r="CN24" s="309">
        <v>3.3</v>
      </c>
      <c r="CO24" s="309">
        <v>1.8</v>
      </c>
      <c r="CP24" s="309">
        <v>1.7</v>
      </c>
      <c r="CQ24" s="309">
        <v>2.8</v>
      </c>
      <c r="CR24" s="309">
        <v>2.6</v>
      </c>
      <c r="CS24" s="306" t="s">
        <v>176</v>
      </c>
      <c r="CT24" s="386">
        <v>7501</v>
      </c>
      <c r="CU24" s="306" t="s">
        <v>177</v>
      </c>
      <c r="CV24" s="386">
        <v>8500</v>
      </c>
      <c r="CW24" s="306">
        <v>6.3</v>
      </c>
      <c r="CX24" s="306">
        <v>4.5999999999999996</v>
      </c>
      <c r="CY24" s="306">
        <v>1.8</v>
      </c>
      <c r="CZ24" s="306">
        <v>1.8</v>
      </c>
      <c r="DA24" s="306">
        <v>4.5</v>
      </c>
      <c r="DB24" s="306">
        <v>3.5</v>
      </c>
      <c r="DC24" s="309" t="s">
        <v>176</v>
      </c>
      <c r="DD24" s="385">
        <v>10501</v>
      </c>
      <c r="DE24" s="309" t="s">
        <v>177</v>
      </c>
      <c r="DF24" s="385">
        <v>11500</v>
      </c>
      <c r="DG24" s="309">
        <v>3</v>
      </c>
      <c r="DH24" s="309">
        <v>2.9</v>
      </c>
      <c r="DI24" s="309">
        <v>2.4</v>
      </c>
      <c r="DJ24" s="309">
        <v>2.2999999999999998</v>
      </c>
      <c r="DK24" s="309">
        <v>2.8</v>
      </c>
      <c r="DL24" s="309">
        <v>2.7</v>
      </c>
      <c r="DM24" s="306" t="s">
        <v>176</v>
      </c>
      <c r="DN24" s="386">
        <v>10501</v>
      </c>
      <c r="DO24" s="306" t="s">
        <v>177</v>
      </c>
      <c r="DP24" s="386">
        <v>11500</v>
      </c>
      <c r="DQ24" s="306">
        <v>2.6</v>
      </c>
      <c r="DR24" s="306">
        <v>2.7</v>
      </c>
      <c r="DS24" s="306">
        <v>2.4</v>
      </c>
      <c r="DT24" s="306">
        <v>2.4</v>
      </c>
      <c r="DU24" s="306">
        <v>2.5</v>
      </c>
      <c r="DV24" s="306">
        <v>2.6</v>
      </c>
      <c r="DW24" s="309" t="s">
        <v>176</v>
      </c>
      <c r="DX24" s="385">
        <v>10501</v>
      </c>
      <c r="DY24" s="309" t="s">
        <v>177</v>
      </c>
      <c r="DZ24" s="385">
        <v>11500</v>
      </c>
      <c r="EA24" s="309">
        <v>2.4</v>
      </c>
      <c r="EB24" s="309">
        <v>2.4</v>
      </c>
      <c r="EC24" s="309">
        <v>2.6</v>
      </c>
      <c r="ED24" s="309">
        <v>2.5</v>
      </c>
      <c r="EE24" s="309">
        <v>2.4</v>
      </c>
      <c r="EF24" s="309">
        <v>2.5</v>
      </c>
      <c r="EG24" s="387" t="s">
        <v>194</v>
      </c>
      <c r="EH24" s="388">
        <v>2.85984860169413</v>
      </c>
      <c r="EI24" s="389">
        <v>3.0915794535919598</v>
      </c>
      <c r="EJ24" s="390">
        <v>2.9634242041693701</v>
      </c>
      <c r="EK24" s="391">
        <v>2.7800560724761998</v>
      </c>
      <c r="EL24" s="392">
        <v>1.70348295169782</v>
      </c>
      <c r="EM24" s="393">
        <v>1.87569658091124</v>
      </c>
      <c r="EN24" s="394">
        <v>1.79165943481074</v>
      </c>
      <c r="EO24" s="395">
        <v>1.71765244385501</v>
      </c>
      <c r="EP24" s="388">
        <v>2.43889519930788</v>
      </c>
      <c r="EQ24" s="389">
        <v>2.5732259258205001</v>
      </c>
      <c r="ER24" s="390">
        <v>2.5023746898417101</v>
      </c>
      <c r="ES24" s="396">
        <v>2.3564415301001098</v>
      </c>
      <c r="ET24" s="309" t="s">
        <v>176</v>
      </c>
      <c r="EU24" s="385">
        <v>10501</v>
      </c>
      <c r="EV24" s="309" t="s">
        <v>177</v>
      </c>
      <c r="EW24" s="385">
        <v>11500</v>
      </c>
      <c r="EX24" s="309">
        <v>5.6</v>
      </c>
      <c r="EY24" s="309">
        <v>5.2</v>
      </c>
      <c r="EZ24" s="309">
        <v>5.4</v>
      </c>
      <c r="FA24" s="309">
        <v>4.5999999999999996</v>
      </c>
      <c r="FB24" s="309">
        <v>1.8</v>
      </c>
      <c r="FC24" s="309">
        <v>2.2000000000000002</v>
      </c>
      <c r="FD24" s="309">
        <v>2</v>
      </c>
      <c r="FE24" s="309">
        <v>1.9</v>
      </c>
      <c r="FF24" s="309">
        <v>4.2</v>
      </c>
      <c r="FG24" s="309">
        <v>3.9</v>
      </c>
      <c r="FH24" s="309">
        <v>4.0999999999999996</v>
      </c>
      <c r="FI24" s="309">
        <v>3.4</v>
      </c>
    </row>
    <row r="25" spans="2:165">
      <c r="B25" s="650" t="s">
        <v>176</v>
      </c>
      <c r="C25" s="650">
        <v>1201</v>
      </c>
      <c r="D25" s="650"/>
      <c r="E25" s="650" t="s">
        <v>177</v>
      </c>
      <c r="F25" s="650">
        <v>1300</v>
      </c>
      <c r="G25" s="400"/>
      <c r="H25" s="400"/>
      <c r="I25" s="647"/>
      <c r="J25" s="645">
        <v>5.4</v>
      </c>
      <c r="K25" s="645">
        <v>5.0999999999999996</v>
      </c>
      <c r="L25" s="647"/>
      <c r="M25" s="645">
        <v>7.7</v>
      </c>
      <c r="N25" s="645">
        <v>6.4</v>
      </c>
      <c r="O25" s="364" t="s">
        <v>176</v>
      </c>
      <c r="P25" s="403">
        <v>4501</v>
      </c>
      <c r="Q25" s="364" t="s">
        <v>177</v>
      </c>
      <c r="R25" s="403">
        <v>5500</v>
      </c>
      <c r="S25" s="663">
        <v>4.4000000000000004</v>
      </c>
      <c r="T25" s="663"/>
      <c r="U25" s="367">
        <v>4.0999999999999996</v>
      </c>
      <c r="V25" s="367">
        <v>2.7</v>
      </c>
      <c r="W25" s="367">
        <v>2.6</v>
      </c>
      <c r="X25" s="663">
        <v>3.7</v>
      </c>
      <c r="Y25" s="663"/>
      <c r="Z25" s="368">
        <v>3.5</v>
      </c>
      <c r="AA25" s="369" t="s">
        <v>176</v>
      </c>
      <c r="AB25" s="404">
        <v>4501</v>
      </c>
      <c r="AC25" s="369" t="s">
        <v>177</v>
      </c>
      <c r="AD25" s="404">
        <v>5500</v>
      </c>
      <c r="AE25" s="665">
        <v>5.2</v>
      </c>
      <c r="AF25" s="665"/>
      <c r="AG25" s="372">
        <v>4.9000000000000004</v>
      </c>
      <c r="AH25" s="372">
        <v>2.4</v>
      </c>
      <c r="AI25" s="372">
        <v>2.6</v>
      </c>
      <c r="AJ25" s="372">
        <v>4</v>
      </c>
      <c r="AK25" s="373">
        <v>3.9</v>
      </c>
      <c r="AL25" s="374" t="s">
        <v>176</v>
      </c>
      <c r="AM25" s="401">
        <v>5501</v>
      </c>
      <c r="AN25" s="374" t="s">
        <v>177</v>
      </c>
      <c r="AO25" s="401">
        <v>6500</v>
      </c>
      <c r="AP25" s="667">
        <v>4</v>
      </c>
      <c r="AQ25" s="667"/>
      <c r="AR25" s="667">
        <v>4</v>
      </c>
      <c r="AS25" s="667"/>
      <c r="AT25" s="377">
        <v>2.4</v>
      </c>
      <c r="AU25" s="377">
        <v>2.4</v>
      </c>
      <c r="AV25" s="667">
        <v>3.4</v>
      </c>
      <c r="AW25" s="667"/>
      <c r="AX25" s="378">
        <v>3.3</v>
      </c>
      <c r="AY25" s="379" t="s">
        <v>176</v>
      </c>
      <c r="AZ25" s="402">
        <v>5501</v>
      </c>
      <c r="BA25" s="379" t="s">
        <v>177</v>
      </c>
      <c r="BB25" s="402">
        <v>6500</v>
      </c>
      <c r="BC25" s="669">
        <v>6.9</v>
      </c>
      <c r="BD25" s="669"/>
      <c r="BE25" s="382">
        <v>6.2</v>
      </c>
      <c r="BF25" s="382">
        <v>2.1</v>
      </c>
      <c r="BG25" s="382">
        <v>2.2999999999999998</v>
      </c>
      <c r="BH25" s="669">
        <v>4.9000000000000004</v>
      </c>
      <c r="BI25" s="669"/>
      <c r="BJ25" s="383">
        <v>4.5</v>
      </c>
      <c r="BK25" s="374" t="s">
        <v>176</v>
      </c>
      <c r="BL25" s="401">
        <v>5501</v>
      </c>
      <c r="BM25" s="374" t="s">
        <v>177</v>
      </c>
      <c r="BN25" s="401">
        <v>6500</v>
      </c>
      <c r="BO25" s="667">
        <v>6.2</v>
      </c>
      <c r="BP25" s="667"/>
      <c r="BQ25" s="377">
        <v>7.2</v>
      </c>
      <c r="BR25" s="667">
        <v>2.2000000000000002</v>
      </c>
      <c r="BS25" s="667"/>
      <c r="BT25" s="377">
        <v>3</v>
      </c>
      <c r="BU25" s="377">
        <v>4.5999999999999996</v>
      </c>
      <c r="BV25" s="384">
        <v>5.5</v>
      </c>
      <c r="BW25" s="379" t="s">
        <v>176</v>
      </c>
      <c r="BX25" s="402">
        <v>5501</v>
      </c>
      <c r="BY25" s="379" t="s">
        <v>177</v>
      </c>
      <c r="BZ25" s="677">
        <v>6500</v>
      </c>
      <c r="CA25" s="677"/>
      <c r="CB25" s="669">
        <v>4.5</v>
      </c>
      <c r="CC25" s="669"/>
      <c r="CD25" s="382">
        <v>5.5</v>
      </c>
      <c r="CE25" s="382">
        <v>3</v>
      </c>
      <c r="CF25" s="382">
        <v>2.6</v>
      </c>
      <c r="CG25" s="382">
        <v>3.9</v>
      </c>
      <c r="CH25" s="383">
        <v>4.3</v>
      </c>
      <c r="CI25" s="350" t="s">
        <v>39</v>
      </c>
      <c r="CJ25" s="309" t="s">
        <v>195</v>
      </c>
      <c r="CK25" s="385">
        <v>8500</v>
      </c>
      <c r="CL25" s="309"/>
      <c r="CM25" s="309">
        <v>17.8</v>
      </c>
      <c r="CN25" s="309">
        <v>13.7</v>
      </c>
      <c r="CO25" s="309">
        <v>13.7</v>
      </c>
      <c r="CP25" s="309">
        <v>13.2</v>
      </c>
      <c r="CQ25" s="309">
        <v>16.2</v>
      </c>
      <c r="CR25" s="309">
        <v>13.5</v>
      </c>
      <c r="CS25" s="306" t="s">
        <v>39</v>
      </c>
      <c r="CT25" s="306" t="s">
        <v>195</v>
      </c>
      <c r="CU25" s="386">
        <v>8500</v>
      </c>
      <c r="CV25" s="306"/>
      <c r="CW25" s="306">
        <v>20.7</v>
      </c>
      <c r="CX25" s="306">
        <v>18.899999999999999</v>
      </c>
      <c r="CY25" s="306">
        <v>13.7</v>
      </c>
      <c r="CZ25" s="306">
        <v>13.7</v>
      </c>
      <c r="DA25" s="306">
        <v>18</v>
      </c>
      <c r="DB25" s="306">
        <v>16.899999999999999</v>
      </c>
      <c r="DC25" s="309" t="s">
        <v>176</v>
      </c>
      <c r="DD25" s="309">
        <v>11501</v>
      </c>
      <c r="DE25" s="309" t="s">
        <v>177</v>
      </c>
      <c r="DF25" s="385">
        <v>12500</v>
      </c>
      <c r="DG25" s="309">
        <v>3</v>
      </c>
      <c r="DH25" s="309">
        <v>3</v>
      </c>
      <c r="DI25" s="309">
        <v>2.7</v>
      </c>
      <c r="DJ25" s="309">
        <v>2.6</v>
      </c>
      <c r="DK25" s="309">
        <v>2.9</v>
      </c>
      <c r="DL25" s="309">
        <v>2.8</v>
      </c>
      <c r="DM25" s="306" t="s">
        <v>176</v>
      </c>
      <c r="DN25" s="306">
        <v>11501</v>
      </c>
      <c r="DO25" s="306" t="s">
        <v>177</v>
      </c>
      <c r="DP25" s="386">
        <v>12500</v>
      </c>
      <c r="DQ25" s="306">
        <v>3.5</v>
      </c>
      <c r="DR25" s="306">
        <v>3.3</v>
      </c>
      <c r="DS25" s="306">
        <v>2.8</v>
      </c>
      <c r="DT25" s="306">
        <v>2.7</v>
      </c>
      <c r="DU25" s="306">
        <v>3.2</v>
      </c>
      <c r="DV25" s="306">
        <v>3.1</v>
      </c>
      <c r="DW25" s="309" t="s">
        <v>176</v>
      </c>
      <c r="DX25" s="309">
        <v>11501</v>
      </c>
      <c r="DY25" s="309" t="s">
        <v>177</v>
      </c>
      <c r="DZ25" s="385">
        <v>12500</v>
      </c>
      <c r="EA25" s="309">
        <v>2.9</v>
      </c>
      <c r="EB25" s="309">
        <v>3</v>
      </c>
      <c r="EC25" s="309">
        <v>3</v>
      </c>
      <c r="ED25" s="309">
        <v>2.9</v>
      </c>
      <c r="EE25" s="309">
        <v>2.9</v>
      </c>
      <c r="EF25" s="309">
        <v>3</v>
      </c>
      <c r="EG25" s="387" t="s">
        <v>196</v>
      </c>
      <c r="EH25" s="388">
        <v>3.3200895804156998</v>
      </c>
      <c r="EI25" s="389">
        <v>1.89235196677888</v>
      </c>
      <c r="EJ25" s="390">
        <v>2.6819407008086298</v>
      </c>
      <c r="EK25" s="391">
        <v>2.7414972360161198</v>
      </c>
      <c r="EL25" s="392">
        <v>5.4650492290944799</v>
      </c>
      <c r="EM25" s="393">
        <v>1.59064411584943</v>
      </c>
      <c r="EN25" s="394">
        <v>3.4812839568507998</v>
      </c>
      <c r="EO25" s="395">
        <v>3.3524531356193199</v>
      </c>
      <c r="EP25" s="388">
        <v>4.1009222366740596</v>
      </c>
      <c r="EQ25" s="389">
        <v>1.7637282873114499</v>
      </c>
      <c r="ER25" s="390">
        <v>2.9964550381709398</v>
      </c>
      <c r="ES25" s="396">
        <v>2.9851460306647501</v>
      </c>
      <c r="ET25" s="309" t="s">
        <v>176</v>
      </c>
      <c r="EU25" s="309">
        <v>11501</v>
      </c>
      <c r="EV25" s="309" t="s">
        <v>177</v>
      </c>
      <c r="EW25" s="385">
        <v>12500</v>
      </c>
      <c r="EX25" s="309">
        <v>2.8</v>
      </c>
      <c r="EY25" s="309">
        <v>2</v>
      </c>
      <c r="EZ25" s="309">
        <v>2.4</v>
      </c>
      <c r="FA25" s="309">
        <v>2.5</v>
      </c>
      <c r="FB25" s="309">
        <v>4.2</v>
      </c>
      <c r="FC25" s="309">
        <v>1.6</v>
      </c>
      <c r="FD25" s="309">
        <v>2.9</v>
      </c>
      <c r="FE25" s="309">
        <v>2.9</v>
      </c>
      <c r="FF25" s="309">
        <v>3.3</v>
      </c>
      <c r="FG25" s="309">
        <v>1.8</v>
      </c>
      <c r="FH25" s="309">
        <v>2.6</v>
      </c>
      <c r="FI25" s="309">
        <v>2.7</v>
      </c>
    </row>
    <row r="26" spans="2:165">
      <c r="B26" s="650"/>
      <c r="C26" s="650"/>
      <c r="D26" s="650"/>
      <c r="E26" s="650"/>
      <c r="F26" s="650"/>
      <c r="G26" s="363">
        <v>9.5</v>
      </c>
      <c r="H26" s="363">
        <v>7.4</v>
      </c>
      <c r="I26" s="647"/>
      <c r="J26" s="645"/>
      <c r="K26" s="645"/>
      <c r="L26" s="647"/>
      <c r="M26" s="645"/>
      <c r="N26" s="645"/>
      <c r="O26" s="364" t="s">
        <v>176</v>
      </c>
      <c r="P26" s="403">
        <v>5501</v>
      </c>
      <c r="Q26" s="364" t="s">
        <v>177</v>
      </c>
      <c r="R26" s="403">
        <v>6500</v>
      </c>
      <c r="S26" s="663">
        <v>3.1</v>
      </c>
      <c r="T26" s="663"/>
      <c r="U26" s="367">
        <v>3</v>
      </c>
      <c r="V26" s="367">
        <v>2.9</v>
      </c>
      <c r="W26" s="367">
        <v>2.7</v>
      </c>
      <c r="X26" s="663">
        <v>3</v>
      </c>
      <c r="Y26" s="663"/>
      <c r="Z26" s="368">
        <v>2.9</v>
      </c>
      <c r="AA26" s="369" t="s">
        <v>176</v>
      </c>
      <c r="AB26" s="404">
        <v>5501</v>
      </c>
      <c r="AC26" s="369" t="s">
        <v>177</v>
      </c>
      <c r="AD26" s="404">
        <v>6500</v>
      </c>
      <c r="AE26" s="665">
        <v>3.9</v>
      </c>
      <c r="AF26" s="665"/>
      <c r="AG26" s="372">
        <v>3.4</v>
      </c>
      <c r="AH26" s="372">
        <v>2.2999999999999998</v>
      </c>
      <c r="AI26" s="372">
        <v>2.7</v>
      </c>
      <c r="AJ26" s="372">
        <v>3.2</v>
      </c>
      <c r="AK26" s="373">
        <v>3.1</v>
      </c>
      <c r="AL26" s="374" t="s">
        <v>176</v>
      </c>
      <c r="AM26" s="401">
        <v>6501</v>
      </c>
      <c r="AN26" s="374" t="s">
        <v>177</v>
      </c>
      <c r="AO26" s="401">
        <v>7500</v>
      </c>
      <c r="AP26" s="667">
        <v>2.4</v>
      </c>
      <c r="AQ26" s="667"/>
      <c r="AR26" s="667">
        <v>2.4</v>
      </c>
      <c r="AS26" s="667"/>
      <c r="AT26" s="377">
        <v>2.6</v>
      </c>
      <c r="AU26" s="377">
        <v>2.6</v>
      </c>
      <c r="AV26" s="667">
        <v>2.5</v>
      </c>
      <c r="AW26" s="667"/>
      <c r="AX26" s="378">
        <v>2.5</v>
      </c>
      <c r="AY26" s="379" t="s">
        <v>176</v>
      </c>
      <c r="AZ26" s="402">
        <v>6501</v>
      </c>
      <c r="BA26" s="379" t="s">
        <v>177</v>
      </c>
      <c r="BB26" s="402">
        <v>7500</v>
      </c>
      <c r="BC26" s="669">
        <v>3.4</v>
      </c>
      <c r="BD26" s="669"/>
      <c r="BE26" s="382">
        <v>2.8</v>
      </c>
      <c r="BF26" s="382">
        <v>1.6</v>
      </c>
      <c r="BG26" s="382">
        <v>2.2000000000000002</v>
      </c>
      <c r="BH26" s="669">
        <v>2.6</v>
      </c>
      <c r="BI26" s="669"/>
      <c r="BJ26" s="383">
        <v>2.5</v>
      </c>
      <c r="BK26" s="374" t="s">
        <v>176</v>
      </c>
      <c r="BL26" s="401">
        <v>6501</v>
      </c>
      <c r="BM26" s="374" t="s">
        <v>177</v>
      </c>
      <c r="BN26" s="401">
        <v>7500</v>
      </c>
      <c r="BO26" s="667">
        <v>4.8</v>
      </c>
      <c r="BP26" s="667"/>
      <c r="BQ26" s="377">
        <v>4.2</v>
      </c>
      <c r="BR26" s="667">
        <v>1.7</v>
      </c>
      <c r="BS26" s="667"/>
      <c r="BT26" s="377">
        <v>2</v>
      </c>
      <c r="BU26" s="377">
        <v>3.5</v>
      </c>
      <c r="BV26" s="384">
        <v>3.3</v>
      </c>
      <c r="BW26" s="379" t="s">
        <v>176</v>
      </c>
      <c r="BX26" s="402">
        <v>6501</v>
      </c>
      <c r="BY26" s="379" t="s">
        <v>177</v>
      </c>
      <c r="BZ26" s="677">
        <v>7500</v>
      </c>
      <c r="CA26" s="677"/>
      <c r="CB26" s="669">
        <v>5.5</v>
      </c>
      <c r="CC26" s="669"/>
      <c r="CD26" s="382">
        <v>5.2</v>
      </c>
      <c r="CE26" s="382">
        <v>1.9</v>
      </c>
      <c r="CF26" s="382">
        <v>1.7</v>
      </c>
      <c r="CG26" s="382">
        <v>4</v>
      </c>
      <c r="CH26" s="383">
        <v>3.8</v>
      </c>
      <c r="CI26" s="350" t="s">
        <v>3</v>
      </c>
      <c r="CJ26" s="309"/>
      <c r="CK26" s="309"/>
      <c r="CL26" s="309"/>
      <c r="CM26" s="309">
        <v>100</v>
      </c>
      <c r="CN26" s="309">
        <v>100</v>
      </c>
      <c r="CO26" s="309">
        <v>100</v>
      </c>
      <c r="CP26" s="309">
        <v>100</v>
      </c>
      <c r="CQ26" s="309">
        <v>100</v>
      </c>
      <c r="CR26" s="309">
        <v>100</v>
      </c>
      <c r="CS26" s="306" t="s">
        <v>3</v>
      </c>
      <c r="CT26" s="306"/>
      <c r="CU26" s="306"/>
      <c r="CV26" s="306"/>
      <c r="CW26" s="306">
        <v>100</v>
      </c>
      <c r="CX26" s="306">
        <v>100</v>
      </c>
      <c r="CY26" s="306">
        <v>100</v>
      </c>
      <c r="CZ26" s="306">
        <v>100</v>
      </c>
      <c r="DA26" s="306">
        <v>100</v>
      </c>
      <c r="DB26" s="306">
        <v>100</v>
      </c>
      <c r="DC26" s="309" t="s">
        <v>176</v>
      </c>
      <c r="DD26" s="385">
        <v>12501</v>
      </c>
      <c r="DE26" s="309" t="s">
        <v>177</v>
      </c>
      <c r="DF26" s="385">
        <v>13000</v>
      </c>
      <c r="DG26" s="309">
        <v>0.9</v>
      </c>
      <c r="DH26" s="309">
        <v>0.9</v>
      </c>
      <c r="DI26" s="309">
        <v>0.4</v>
      </c>
      <c r="DJ26" s="309">
        <v>0.4</v>
      </c>
      <c r="DK26" s="309">
        <v>0.7</v>
      </c>
      <c r="DL26" s="309">
        <v>0.7</v>
      </c>
      <c r="DM26" s="306" t="s">
        <v>176</v>
      </c>
      <c r="DN26" s="386">
        <v>12501</v>
      </c>
      <c r="DO26" s="306" t="s">
        <v>177</v>
      </c>
      <c r="DP26" s="386">
        <v>13000</v>
      </c>
      <c r="DQ26" s="306">
        <v>1.1000000000000001</v>
      </c>
      <c r="DR26" s="306">
        <v>1</v>
      </c>
      <c r="DS26" s="306">
        <v>0.4</v>
      </c>
      <c r="DT26" s="306">
        <v>0.4</v>
      </c>
      <c r="DU26" s="306">
        <v>0.8</v>
      </c>
      <c r="DV26" s="306">
        <v>0.8</v>
      </c>
      <c r="DW26" s="309" t="s">
        <v>176</v>
      </c>
      <c r="DX26" s="385">
        <v>12501</v>
      </c>
      <c r="DY26" s="309" t="s">
        <v>177</v>
      </c>
      <c r="DZ26" s="385">
        <v>13000</v>
      </c>
      <c r="EA26" s="309">
        <v>1.1000000000000001</v>
      </c>
      <c r="EB26" s="309">
        <v>1.1000000000000001</v>
      </c>
      <c r="EC26" s="309">
        <v>0.4</v>
      </c>
      <c r="ED26" s="309">
        <v>0.4</v>
      </c>
      <c r="EE26" s="309">
        <v>0.8</v>
      </c>
      <c r="EF26" s="309">
        <v>0.8</v>
      </c>
      <c r="EG26" s="387" t="s">
        <v>197</v>
      </c>
      <c r="EH26" s="388">
        <v>1.4171226918544799</v>
      </c>
      <c r="EI26" s="389">
        <v>1.2725093701574799</v>
      </c>
      <c r="EJ26" s="390">
        <v>1.35248558463271</v>
      </c>
      <c r="EK26" s="391">
        <v>1.40903357862039</v>
      </c>
      <c r="EL26" s="392">
        <v>1.02553877161688</v>
      </c>
      <c r="EM26" s="393">
        <v>1.4360480942573499</v>
      </c>
      <c r="EN26" s="394">
        <v>1.2357269461581799</v>
      </c>
      <c r="EO26" s="395">
        <v>2.07385846825541</v>
      </c>
      <c r="EP26" s="388">
        <v>1.2745738505391999</v>
      </c>
      <c r="EQ26" s="389">
        <v>1.3422289759427899</v>
      </c>
      <c r="ER26" s="390">
        <v>1.3065450383985799</v>
      </c>
      <c r="ES26" s="396">
        <v>1.67415041864811</v>
      </c>
      <c r="ET26" s="309" t="s">
        <v>176</v>
      </c>
      <c r="EU26" s="385">
        <v>12501</v>
      </c>
      <c r="EV26" s="309" t="s">
        <v>177</v>
      </c>
      <c r="EW26" s="385">
        <v>13000</v>
      </c>
      <c r="EX26" s="309">
        <v>0.8</v>
      </c>
      <c r="EY26" s="309">
        <v>0.8</v>
      </c>
      <c r="EZ26" s="309">
        <v>0.8</v>
      </c>
      <c r="FA26" s="309">
        <v>0.9</v>
      </c>
      <c r="FB26" s="309">
        <v>0.7</v>
      </c>
      <c r="FC26" s="309">
        <v>0.8</v>
      </c>
      <c r="FD26" s="309">
        <v>0.7</v>
      </c>
      <c r="FE26" s="309">
        <v>1.7</v>
      </c>
      <c r="FF26" s="309">
        <v>0.7</v>
      </c>
      <c r="FG26" s="309">
        <v>0.8</v>
      </c>
      <c r="FH26" s="309">
        <v>0.8</v>
      </c>
      <c r="FI26" s="309">
        <v>1.2</v>
      </c>
    </row>
    <row r="27" spans="2:165">
      <c r="B27" s="650" t="s">
        <v>176</v>
      </c>
      <c r="C27" s="650">
        <v>1301</v>
      </c>
      <c r="D27" s="650"/>
      <c r="E27" s="650" t="s">
        <v>177</v>
      </c>
      <c r="F27" s="650">
        <v>1400</v>
      </c>
      <c r="G27" s="400"/>
      <c r="H27" s="400"/>
      <c r="I27" s="647"/>
      <c r="J27" s="645">
        <v>9.9</v>
      </c>
      <c r="K27" s="645">
        <v>10.4</v>
      </c>
      <c r="L27" s="647"/>
      <c r="M27" s="645">
        <v>7.2</v>
      </c>
      <c r="N27" s="645">
        <v>7.2</v>
      </c>
      <c r="O27" s="364" t="s">
        <v>176</v>
      </c>
      <c r="P27" s="403">
        <v>6501</v>
      </c>
      <c r="Q27" s="364" t="s">
        <v>177</v>
      </c>
      <c r="R27" s="403">
        <v>7500</v>
      </c>
      <c r="S27" s="663">
        <v>1.5</v>
      </c>
      <c r="T27" s="663"/>
      <c r="U27" s="367">
        <v>1.6</v>
      </c>
      <c r="V27" s="367">
        <v>1.1000000000000001</v>
      </c>
      <c r="W27" s="367">
        <v>1.3</v>
      </c>
      <c r="X27" s="663">
        <v>1.3</v>
      </c>
      <c r="Y27" s="663"/>
      <c r="Z27" s="368">
        <v>1.4</v>
      </c>
      <c r="AA27" s="369" t="s">
        <v>176</v>
      </c>
      <c r="AB27" s="404">
        <v>6501</v>
      </c>
      <c r="AC27" s="369" t="s">
        <v>177</v>
      </c>
      <c r="AD27" s="404">
        <v>7500</v>
      </c>
      <c r="AE27" s="665">
        <v>2.4</v>
      </c>
      <c r="AF27" s="665"/>
      <c r="AG27" s="372">
        <v>1.9</v>
      </c>
      <c r="AH27" s="372">
        <v>2.6</v>
      </c>
      <c r="AI27" s="372">
        <v>1.7</v>
      </c>
      <c r="AJ27" s="372">
        <v>2.5</v>
      </c>
      <c r="AK27" s="373">
        <v>1.8</v>
      </c>
      <c r="AL27" s="374" t="s">
        <v>176</v>
      </c>
      <c r="AM27" s="401">
        <v>7501</v>
      </c>
      <c r="AN27" s="374" t="s">
        <v>177</v>
      </c>
      <c r="AO27" s="401">
        <v>8500</v>
      </c>
      <c r="AP27" s="667">
        <v>2.2000000000000002</v>
      </c>
      <c r="AQ27" s="667"/>
      <c r="AR27" s="667">
        <v>2.1</v>
      </c>
      <c r="AS27" s="667"/>
      <c r="AT27" s="377">
        <v>1.2</v>
      </c>
      <c r="AU27" s="377">
        <v>1.2</v>
      </c>
      <c r="AV27" s="667">
        <v>1.8</v>
      </c>
      <c r="AW27" s="667"/>
      <c r="AX27" s="378">
        <v>1.7</v>
      </c>
      <c r="AY27" s="379" t="s">
        <v>176</v>
      </c>
      <c r="AZ27" s="402">
        <v>7501</v>
      </c>
      <c r="BA27" s="379" t="s">
        <v>177</v>
      </c>
      <c r="BB27" s="402">
        <v>8500</v>
      </c>
      <c r="BC27" s="669">
        <v>2.2999999999999998</v>
      </c>
      <c r="BD27" s="669"/>
      <c r="BE27" s="382">
        <v>2.2999999999999998</v>
      </c>
      <c r="BF27" s="382">
        <v>2.6</v>
      </c>
      <c r="BG27" s="382">
        <v>1.8</v>
      </c>
      <c r="BH27" s="669">
        <v>2.5</v>
      </c>
      <c r="BI27" s="669"/>
      <c r="BJ27" s="383">
        <v>2.1</v>
      </c>
      <c r="BK27" s="374" t="s">
        <v>176</v>
      </c>
      <c r="BL27" s="401">
        <v>7501</v>
      </c>
      <c r="BM27" s="374" t="s">
        <v>177</v>
      </c>
      <c r="BN27" s="401">
        <v>8500</v>
      </c>
      <c r="BO27" s="667">
        <v>2.2000000000000002</v>
      </c>
      <c r="BP27" s="667"/>
      <c r="BQ27" s="377">
        <v>3.1</v>
      </c>
      <c r="BR27" s="667">
        <v>2.7</v>
      </c>
      <c r="BS27" s="667"/>
      <c r="BT27" s="377">
        <v>2.7</v>
      </c>
      <c r="BU27" s="377">
        <v>2.4</v>
      </c>
      <c r="BV27" s="384">
        <v>2.9</v>
      </c>
      <c r="BW27" s="379" t="s">
        <v>176</v>
      </c>
      <c r="BX27" s="402">
        <v>7501</v>
      </c>
      <c r="BY27" s="379" t="s">
        <v>177</v>
      </c>
      <c r="BZ27" s="677">
        <v>8500</v>
      </c>
      <c r="CA27" s="677"/>
      <c r="CB27" s="669">
        <v>3.5</v>
      </c>
      <c r="CC27" s="669"/>
      <c r="CD27" s="382">
        <v>2.8</v>
      </c>
      <c r="CE27" s="382">
        <v>1.5</v>
      </c>
      <c r="CF27" s="382">
        <v>2.5</v>
      </c>
      <c r="CG27" s="382">
        <v>2.7</v>
      </c>
      <c r="CH27" s="383">
        <v>2.7</v>
      </c>
      <c r="CI27" s="407"/>
      <c r="DC27" s="309" t="s">
        <v>39</v>
      </c>
      <c r="DD27" s="309" t="s">
        <v>195</v>
      </c>
      <c r="DE27" s="385">
        <v>13000</v>
      </c>
      <c r="DF27" s="309"/>
      <c r="DG27" s="309">
        <v>9.1999999999999993</v>
      </c>
      <c r="DH27" s="309">
        <v>9</v>
      </c>
      <c r="DI27" s="309">
        <v>7.8</v>
      </c>
      <c r="DJ27" s="309">
        <v>7.6</v>
      </c>
      <c r="DK27" s="309">
        <v>8.6</v>
      </c>
      <c r="DL27" s="309">
        <v>8.5</v>
      </c>
      <c r="DM27" s="306" t="s">
        <v>39</v>
      </c>
      <c r="DN27" s="306" t="s">
        <v>195</v>
      </c>
      <c r="DO27" s="386">
        <v>13000</v>
      </c>
      <c r="DP27" s="306"/>
      <c r="DQ27" s="306">
        <v>9.6</v>
      </c>
      <c r="DR27" s="306">
        <v>9.4</v>
      </c>
      <c r="DS27" s="306">
        <v>8.3000000000000007</v>
      </c>
      <c r="DT27" s="306">
        <v>8.1</v>
      </c>
      <c r="DU27" s="306">
        <v>9.1</v>
      </c>
      <c r="DV27" s="306">
        <v>8.9</v>
      </c>
      <c r="DW27" s="309" t="s">
        <v>39</v>
      </c>
      <c r="DX27" s="309" t="s">
        <v>195</v>
      </c>
      <c r="DY27" s="385">
        <v>13000</v>
      </c>
      <c r="DZ27" s="309"/>
      <c r="EA27" s="309">
        <v>12.2</v>
      </c>
      <c r="EB27" s="309">
        <v>11.5</v>
      </c>
      <c r="EC27" s="309">
        <v>9.5</v>
      </c>
      <c r="ED27" s="309">
        <v>9.3000000000000007</v>
      </c>
      <c r="EE27" s="309">
        <v>11.1</v>
      </c>
      <c r="EF27" s="309">
        <v>10.6</v>
      </c>
      <c r="EG27" s="387" t="s">
        <v>198</v>
      </c>
      <c r="EH27" s="408">
        <v>16.4721233396467</v>
      </c>
      <c r="EI27" s="409">
        <v>11.6247204219815</v>
      </c>
      <c r="EJ27" s="410">
        <v>14.3055034289809</v>
      </c>
      <c r="EK27" s="411">
        <v>13.7029023632603</v>
      </c>
      <c r="EL27" s="412">
        <v>12.9213573972979</v>
      </c>
      <c r="EM27" s="413">
        <v>8.1935891443803595</v>
      </c>
      <c r="EN27" s="414">
        <v>10.5006548116825</v>
      </c>
      <c r="EO27" s="415">
        <v>10.2273228647145</v>
      </c>
      <c r="EP27" s="408">
        <v>15.179533055151801</v>
      </c>
      <c r="EQ27" s="409">
        <v>10.1619652159062</v>
      </c>
      <c r="ER27" s="410">
        <v>12.808425130530299</v>
      </c>
      <c r="ES27" s="416">
        <v>12.317120415172701</v>
      </c>
      <c r="ET27" s="309" t="s">
        <v>39</v>
      </c>
      <c r="EU27" s="309" t="s">
        <v>195</v>
      </c>
      <c r="EV27" s="385">
        <v>13000</v>
      </c>
      <c r="EW27" s="309"/>
      <c r="EX27" s="309">
        <v>19.7</v>
      </c>
      <c r="EY27" s="309">
        <v>14</v>
      </c>
      <c r="EZ27" s="309">
        <v>17.2</v>
      </c>
      <c r="FA27" s="309">
        <v>16.3</v>
      </c>
      <c r="FB27" s="309">
        <v>16.3</v>
      </c>
      <c r="FC27" s="309">
        <v>10.3</v>
      </c>
      <c r="FD27" s="309">
        <v>13.2</v>
      </c>
      <c r="FE27" s="309">
        <v>12.2</v>
      </c>
      <c r="FF27" s="309">
        <v>18.5</v>
      </c>
      <c r="FG27" s="309">
        <v>12.4</v>
      </c>
      <c r="FH27" s="309">
        <v>15.6</v>
      </c>
      <c r="FI27" s="309">
        <v>14.5</v>
      </c>
    </row>
    <row r="28" spans="2:165">
      <c r="B28" s="650"/>
      <c r="C28" s="650"/>
      <c r="D28" s="650"/>
      <c r="E28" s="650"/>
      <c r="F28" s="650"/>
      <c r="G28" s="363">
        <v>5.0999999999999996</v>
      </c>
      <c r="H28" s="363">
        <v>4.5999999999999996</v>
      </c>
      <c r="I28" s="647"/>
      <c r="J28" s="645"/>
      <c r="K28" s="645"/>
      <c r="L28" s="647"/>
      <c r="M28" s="645"/>
      <c r="N28" s="645"/>
      <c r="O28" s="364" t="s">
        <v>176</v>
      </c>
      <c r="P28" s="403">
        <v>7501</v>
      </c>
      <c r="Q28" s="364" t="s">
        <v>177</v>
      </c>
      <c r="R28" s="403">
        <v>8500</v>
      </c>
      <c r="S28" s="663">
        <v>1.9</v>
      </c>
      <c r="T28" s="663"/>
      <c r="U28" s="367">
        <v>1.9</v>
      </c>
      <c r="V28" s="367">
        <v>1.3</v>
      </c>
      <c r="W28" s="367">
        <v>1.2</v>
      </c>
      <c r="X28" s="663">
        <v>1.6</v>
      </c>
      <c r="Y28" s="663"/>
      <c r="Z28" s="368">
        <v>1.6</v>
      </c>
      <c r="AA28" s="369" t="s">
        <v>176</v>
      </c>
      <c r="AB28" s="404">
        <v>7501</v>
      </c>
      <c r="AC28" s="369" t="s">
        <v>177</v>
      </c>
      <c r="AD28" s="404">
        <v>8500</v>
      </c>
      <c r="AE28" s="665">
        <v>1.9</v>
      </c>
      <c r="AF28" s="665"/>
      <c r="AG28" s="372">
        <v>2</v>
      </c>
      <c r="AH28" s="372">
        <v>1.2</v>
      </c>
      <c r="AI28" s="372">
        <v>1.4</v>
      </c>
      <c r="AJ28" s="372">
        <v>1.6</v>
      </c>
      <c r="AK28" s="373">
        <v>1.7</v>
      </c>
      <c r="AL28" s="678" t="s">
        <v>199</v>
      </c>
      <c r="AM28" s="678"/>
      <c r="AN28" s="417"/>
      <c r="AO28" s="401">
        <v>8500</v>
      </c>
      <c r="AP28" s="667">
        <v>4.8</v>
      </c>
      <c r="AQ28" s="667"/>
      <c r="AR28" s="667">
        <v>4.8</v>
      </c>
      <c r="AS28" s="667"/>
      <c r="AT28" s="377">
        <v>6.5</v>
      </c>
      <c r="AU28" s="377">
        <v>6.3</v>
      </c>
      <c r="AV28" s="667">
        <v>5.7</v>
      </c>
      <c r="AW28" s="667"/>
      <c r="AX28" s="378">
        <v>5.4</v>
      </c>
      <c r="AY28" s="668" t="s">
        <v>199</v>
      </c>
      <c r="AZ28" s="668"/>
      <c r="BA28" s="418"/>
      <c r="BB28" s="402">
        <v>8500</v>
      </c>
      <c r="BC28" s="669">
        <v>8</v>
      </c>
      <c r="BD28" s="669"/>
      <c r="BE28" s="382">
        <v>6.3</v>
      </c>
      <c r="BF28" s="382">
        <v>8.3000000000000007</v>
      </c>
      <c r="BG28" s="382">
        <v>7.3</v>
      </c>
      <c r="BH28" s="669">
        <v>8.1</v>
      </c>
      <c r="BI28" s="669"/>
      <c r="BJ28" s="383">
        <v>6.7</v>
      </c>
      <c r="BK28" s="680" t="s">
        <v>199</v>
      </c>
      <c r="BL28" s="680"/>
      <c r="BM28" s="417"/>
      <c r="BN28" s="401">
        <v>8500</v>
      </c>
      <c r="BO28" s="679">
        <v>9.1999999999999993</v>
      </c>
      <c r="BP28" s="679"/>
      <c r="BQ28" s="377">
        <v>8</v>
      </c>
      <c r="BR28" s="679">
        <v>8.8000000000000007</v>
      </c>
      <c r="BS28" s="679"/>
      <c r="BT28" s="377">
        <v>7.7</v>
      </c>
      <c r="BU28" s="377">
        <v>9</v>
      </c>
      <c r="BV28" s="384">
        <v>7.8</v>
      </c>
      <c r="BW28" s="668" t="s">
        <v>199</v>
      </c>
      <c r="BX28" s="668"/>
      <c r="BY28" s="418"/>
      <c r="BZ28" s="677">
        <v>8500</v>
      </c>
      <c r="CA28" s="677"/>
      <c r="CB28" s="669">
        <v>14.3</v>
      </c>
      <c r="CC28" s="669"/>
      <c r="CD28" s="382">
        <v>11.2</v>
      </c>
      <c r="CE28" s="382">
        <v>12.2</v>
      </c>
      <c r="CF28" s="382">
        <v>10</v>
      </c>
      <c r="CG28" s="382">
        <v>13.4</v>
      </c>
      <c r="CH28" s="383">
        <v>10.7</v>
      </c>
      <c r="CI28" s="407"/>
      <c r="DC28" s="309" t="s">
        <v>3</v>
      </c>
      <c r="DD28" s="309"/>
      <c r="DE28" s="309"/>
      <c r="DF28" s="309"/>
      <c r="DG28" s="309">
        <v>100</v>
      </c>
      <c r="DH28" s="309">
        <v>100</v>
      </c>
      <c r="DI28" s="309">
        <v>100</v>
      </c>
      <c r="DJ28" s="309">
        <v>100</v>
      </c>
      <c r="DK28" s="309">
        <v>100</v>
      </c>
      <c r="DL28" s="309">
        <v>100</v>
      </c>
      <c r="DM28" s="306" t="s">
        <v>3</v>
      </c>
      <c r="DN28" s="306"/>
      <c r="DO28" s="306"/>
      <c r="DP28" s="306"/>
      <c r="DQ28" s="306">
        <v>100</v>
      </c>
      <c r="DR28" s="306">
        <v>100</v>
      </c>
      <c r="DS28" s="306">
        <v>100</v>
      </c>
      <c r="DT28" s="306">
        <v>100</v>
      </c>
      <c r="DU28" s="306">
        <v>100</v>
      </c>
      <c r="DV28" s="306">
        <v>100</v>
      </c>
      <c r="DW28" s="309" t="s">
        <v>3</v>
      </c>
      <c r="DX28" s="309"/>
      <c r="DY28" s="309"/>
      <c r="DZ28" s="309"/>
      <c r="EA28" s="309">
        <v>100</v>
      </c>
      <c r="EB28" s="309">
        <v>100</v>
      </c>
      <c r="EC28" s="309">
        <v>100</v>
      </c>
      <c r="ED28" s="309">
        <v>100</v>
      </c>
      <c r="EE28" s="309">
        <v>100</v>
      </c>
      <c r="EF28" s="309">
        <v>100</v>
      </c>
      <c r="EG28" s="419" t="s">
        <v>3</v>
      </c>
      <c r="EH28" s="420">
        <v>100</v>
      </c>
      <c r="EI28" s="421">
        <v>100</v>
      </c>
      <c r="EJ28" s="422">
        <v>100</v>
      </c>
      <c r="EK28" s="423">
        <v>100</v>
      </c>
      <c r="EL28" s="420">
        <v>100</v>
      </c>
      <c r="EM28" s="421">
        <v>100</v>
      </c>
      <c r="EN28" s="423">
        <v>100</v>
      </c>
      <c r="EO28" s="424">
        <v>100</v>
      </c>
      <c r="EP28" s="420">
        <v>100</v>
      </c>
      <c r="EQ28" s="421">
        <v>100</v>
      </c>
      <c r="ER28" s="422">
        <v>100</v>
      </c>
      <c r="ES28" s="425">
        <v>100</v>
      </c>
      <c r="ET28" s="309" t="s">
        <v>3</v>
      </c>
      <c r="EU28" s="309"/>
      <c r="EV28" s="309"/>
      <c r="EW28" s="309"/>
      <c r="EX28" s="309">
        <v>100</v>
      </c>
      <c r="EY28" s="309">
        <v>100</v>
      </c>
      <c r="EZ28" s="309">
        <v>100</v>
      </c>
      <c r="FA28" s="309">
        <v>100</v>
      </c>
      <c r="FB28" s="309">
        <v>100</v>
      </c>
      <c r="FC28" s="309">
        <v>100</v>
      </c>
      <c r="FD28" s="309">
        <v>100</v>
      </c>
      <c r="FE28" s="309">
        <v>100</v>
      </c>
      <c r="FF28" s="309">
        <v>100</v>
      </c>
      <c r="FG28" s="309">
        <v>100</v>
      </c>
      <c r="FH28" s="309">
        <v>100</v>
      </c>
      <c r="FI28" s="309">
        <v>100</v>
      </c>
    </row>
    <row r="29" spans="2:165">
      <c r="B29" s="650" t="s">
        <v>176</v>
      </c>
      <c r="C29" s="650">
        <v>1401</v>
      </c>
      <c r="D29" s="650"/>
      <c r="E29" s="650" t="s">
        <v>177</v>
      </c>
      <c r="F29" s="650">
        <v>1500</v>
      </c>
      <c r="G29" s="400"/>
      <c r="H29" s="400"/>
      <c r="I29" s="647"/>
      <c r="J29" s="645">
        <v>4.5999999999999996</v>
      </c>
      <c r="K29" s="645">
        <v>4.3</v>
      </c>
      <c r="L29" s="647"/>
      <c r="M29" s="645">
        <v>4</v>
      </c>
      <c r="N29" s="645">
        <v>4</v>
      </c>
      <c r="O29" s="674" t="s">
        <v>200</v>
      </c>
      <c r="P29" s="674"/>
      <c r="Q29" s="417"/>
      <c r="R29" s="403">
        <v>8500</v>
      </c>
      <c r="S29" s="663">
        <v>2.1</v>
      </c>
      <c r="T29" s="663"/>
      <c r="U29" s="367">
        <v>2</v>
      </c>
      <c r="V29" s="367">
        <v>4.9000000000000004</v>
      </c>
      <c r="W29" s="367">
        <v>4.7</v>
      </c>
      <c r="X29" s="663">
        <v>3.3</v>
      </c>
      <c r="Y29" s="663"/>
      <c r="Z29" s="368">
        <v>3.2</v>
      </c>
      <c r="AA29" s="664" t="s">
        <v>200</v>
      </c>
      <c r="AB29" s="664"/>
      <c r="AC29" s="418"/>
      <c r="AD29" s="404">
        <v>8500</v>
      </c>
      <c r="AE29" s="665">
        <v>4.7</v>
      </c>
      <c r="AF29" s="665"/>
      <c r="AG29" s="372">
        <v>3.2</v>
      </c>
      <c r="AH29" s="372">
        <v>6.1</v>
      </c>
      <c r="AI29" s="372">
        <v>5.3</v>
      </c>
      <c r="AJ29" s="372">
        <v>5.3</v>
      </c>
      <c r="AK29" s="373">
        <v>4.0999999999999996</v>
      </c>
      <c r="AL29" s="657" t="s">
        <v>3</v>
      </c>
      <c r="AM29" s="657"/>
      <c r="AN29" s="657"/>
      <c r="AO29" s="657"/>
      <c r="AP29" s="658"/>
      <c r="AQ29" s="426">
        <v>100</v>
      </c>
      <c r="AR29" s="427">
        <v>100</v>
      </c>
      <c r="AS29" s="666">
        <v>100</v>
      </c>
      <c r="AT29" s="659"/>
      <c r="AU29" s="659">
        <v>100</v>
      </c>
      <c r="AV29" s="660"/>
      <c r="AW29" s="426">
        <v>100</v>
      </c>
      <c r="AX29" s="309"/>
      <c r="AY29" s="661" t="s">
        <v>3</v>
      </c>
      <c r="AZ29" s="661"/>
      <c r="BA29" s="661"/>
      <c r="BB29" s="661"/>
      <c r="BC29" s="662"/>
      <c r="BD29" s="428">
        <v>100</v>
      </c>
      <c r="BE29" s="429">
        <v>100</v>
      </c>
      <c r="BF29" s="428">
        <v>100</v>
      </c>
      <c r="BG29" s="655">
        <v>100</v>
      </c>
      <c r="BH29" s="656"/>
      <c r="BI29" s="428">
        <v>100</v>
      </c>
      <c r="BJ29" s="430">
        <v>100</v>
      </c>
      <c r="BK29" s="657" t="s">
        <v>3</v>
      </c>
      <c r="BL29" s="657"/>
      <c r="BM29" s="657"/>
      <c r="BN29" s="657"/>
      <c r="BO29" s="658"/>
      <c r="BP29" s="431">
        <v>100</v>
      </c>
      <c r="BQ29" s="659">
        <v>100</v>
      </c>
      <c r="BR29" s="660"/>
      <c r="BS29" s="431">
        <v>100</v>
      </c>
      <c r="BT29" s="427">
        <v>100</v>
      </c>
      <c r="BU29" s="426">
        <v>100</v>
      </c>
      <c r="BV29" s="432">
        <v>100</v>
      </c>
      <c r="BW29" s="661" t="s">
        <v>3</v>
      </c>
      <c r="BX29" s="661"/>
      <c r="BY29" s="661"/>
      <c r="BZ29" s="661"/>
      <c r="CA29" s="661"/>
      <c r="CB29" s="662"/>
      <c r="CC29" s="428">
        <v>100</v>
      </c>
      <c r="CD29" s="429">
        <v>100</v>
      </c>
      <c r="CE29" s="433">
        <v>100</v>
      </c>
      <c r="CF29" s="429">
        <v>100</v>
      </c>
      <c r="CG29" s="428">
        <v>100</v>
      </c>
      <c r="CH29" s="430">
        <v>100</v>
      </c>
      <c r="CI29" s="407"/>
    </row>
    <row r="30" spans="2:165">
      <c r="B30" s="650"/>
      <c r="C30" s="650"/>
      <c r="D30" s="650"/>
      <c r="E30" s="650"/>
      <c r="F30" s="650"/>
      <c r="G30" s="363">
        <v>3.6</v>
      </c>
      <c r="H30" s="363">
        <v>3.7</v>
      </c>
      <c r="I30" s="647"/>
      <c r="J30" s="645"/>
      <c r="K30" s="645"/>
      <c r="L30" s="647"/>
      <c r="M30" s="645"/>
      <c r="N30" s="645"/>
      <c r="O30" s="675" t="s">
        <v>3</v>
      </c>
      <c r="P30" s="675"/>
      <c r="Q30" s="675"/>
      <c r="R30" s="675"/>
      <c r="S30" s="676"/>
      <c r="T30" s="434">
        <v>100</v>
      </c>
      <c r="U30" s="435">
        <v>100</v>
      </c>
      <c r="V30" s="434">
        <v>100</v>
      </c>
      <c r="W30" s="670">
        <v>100</v>
      </c>
      <c r="X30" s="671"/>
      <c r="Y30" s="434">
        <v>100</v>
      </c>
      <c r="Z30" s="436">
        <v>100</v>
      </c>
      <c r="AA30" s="672" t="s">
        <v>3</v>
      </c>
      <c r="AB30" s="672"/>
      <c r="AC30" s="672"/>
      <c r="AD30" s="672"/>
      <c r="AE30" s="673"/>
      <c r="AF30" s="437">
        <v>100</v>
      </c>
      <c r="AG30" s="438">
        <v>100</v>
      </c>
      <c r="AH30" s="437">
        <v>100</v>
      </c>
      <c r="AI30" s="438">
        <v>100</v>
      </c>
      <c r="AJ30" s="437">
        <v>100</v>
      </c>
      <c r="AK30" s="439">
        <v>100</v>
      </c>
    </row>
    <row r="31" spans="2:165">
      <c r="B31" s="650" t="s">
        <v>176</v>
      </c>
      <c r="C31" s="650">
        <v>1501</v>
      </c>
      <c r="D31" s="650"/>
      <c r="E31" s="650" t="s">
        <v>177</v>
      </c>
      <c r="F31" s="650">
        <v>2000</v>
      </c>
      <c r="G31" s="400"/>
      <c r="H31" s="400"/>
      <c r="I31" s="647"/>
      <c r="J31" s="653">
        <v>13.2</v>
      </c>
      <c r="K31" s="645">
        <v>13.2</v>
      </c>
      <c r="L31" s="647"/>
      <c r="M31" s="653">
        <v>15.6</v>
      </c>
      <c r="N31" s="654">
        <v>15.6</v>
      </c>
    </row>
    <row r="32" spans="2:165">
      <c r="B32" s="650"/>
      <c r="C32" s="650"/>
      <c r="D32" s="650"/>
      <c r="E32" s="650"/>
      <c r="F32" s="650"/>
      <c r="G32" s="440">
        <v>17.600000000000001</v>
      </c>
      <c r="H32" s="363">
        <v>17.5</v>
      </c>
      <c r="I32" s="647"/>
      <c r="J32" s="653"/>
      <c r="K32" s="645"/>
      <c r="L32" s="647"/>
      <c r="M32" s="653"/>
      <c r="N32" s="654"/>
    </row>
    <row r="33" spans="2:14">
      <c r="B33" s="650" t="s">
        <v>176</v>
      </c>
      <c r="C33" s="650">
        <v>2001</v>
      </c>
      <c r="D33" s="650"/>
      <c r="E33" s="650" t="s">
        <v>177</v>
      </c>
      <c r="F33" s="650">
        <v>2500</v>
      </c>
      <c r="G33" s="400"/>
      <c r="H33" s="400"/>
      <c r="I33" s="647"/>
      <c r="J33" s="645">
        <v>6.6</v>
      </c>
      <c r="K33" s="645">
        <v>6.5</v>
      </c>
      <c r="L33" s="647"/>
      <c r="M33" s="645">
        <v>7.8</v>
      </c>
      <c r="N33" s="645">
        <v>7.5</v>
      </c>
    </row>
    <row r="34" spans="2:14">
      <c r="B34" s="650"/>
      <c r="C34" s="650"/>
      <c r="D34" s="650"/>
      <c r="E34" s="650"/>
      <c r="F34" s="650"/>
      <c r="G34" s="363">
        <v>8.6999999999999993</v>
      </c>
      <c r="H34" s="363">
        <v>8.3000000000000007</v>
      </c>
      <c r="I34" s="647"/>
      <c r="J34" s="645"/>
      <c r="K34" s="645"/>
      <c r="L34" s="647"/>
      <c r="M34" s="645"/>
      <c r="N34" s="645"/>
    </row>
    <row r="35" spans="2:14">
      <c r="B35" s="650" t="s">
        <v>176</v>
      </c>
      <c r="C35" s="650">
        <v>2501</v>
      </c>
      <c r="D35" s="650"/>
      <c r="E35" s="650" t="s">
        <v>177</v>
      </c>
      <c r="F35" s="650">
        <v>3000</v>
      </c>
      <c r="G35" s="400"/>
      <c r="H35" s="400"/>
      <c r="I35" s="647"/>
      <c r="J35" s="645">
        <v>3.8</v>
      </c>
      <c r="K35" s="645">
        <v>3.8</v>
      </c>
      <c r="L35" s="647"/>
      <c r="M35" s="645">
        <v>4.3</v>
      </c>
      <c r="N35" s="645">
        <v>4.3</v>
      </c>
    </row>
    <row r="36" spans="2:14">
      <c r="B36" s="650"/>
      <c r="C36" s="650"/>
      <c r="D36" s="650"/>
      <c r="E36" s="650"/>
      <c r="F36" s="650"/>
      <c r="G36" s="363">
        <v>4.7</v>
      </c>
      <c r="H36" s="363">
        <v>4.7</v>
      </c>
      <c r="I36" s="647"/>
      <c r="J36" s="645"/>
      <c r="K36" s="645"/>
      <c r="L36" s="647"/>
      <c r="M36" s="645"/>
      <c r="N36" s="645"/>
    </row>
    <row r="37" spans="2:14">
      <c r="B37" s="650" t="s">
        <v>176</v>
      </c>
      <c r="C37" s="650">
        <v>3001</v>
      </c>
      <c r="D37" s="650"/>
      <c r="E37" s="650" t="s">
        <v>177</v>
      </c>
      <c r="F37" s="650">
        <v>3500</v>
      </c>
      <c r="G37" s="400"/>
      <c r="H37" s="400"/>
      <c r="I37" s="647"/>
      <c r="J37" s="645">
        <v>2.9</v>
      </c>
      <c r="K37" s="645">
        <v>2.8</v>
      </c>
      <c r="L37" s="647"/>
      <c r="M37" s="645">
        <v>3.5</v>
      </c>
      <c r="N37" s="645">
        <v>3.8</v>
      </c>
    </row>
    <row r="38" spans="2:14">
      <c r="B38" s="650"/>
      <c r="C38" s="650"/>
      <c r="D38" s="650"/>
      <c r="E38" s="650"/>
      <c r="F38" s="650"/>
      <c r="G38" s="363">
        <v>4</v>
      </c>
      <c r="H38" s="363">
        <v>4.5</v>
      </c>
      <c r="I38" s="647"/>
      <c r="J38" s="645"/>
      <c r="K38" s="645"/>
      <c r="L38" s="647"/>
      <c r="M38" s="645"/>
      <c r="N38" s="645"/>
    </row>
    <row r="39" spans="2:14">
      <c r="B39" s="650" t="s">
        <v>176</v>
      </c>
      <c r="C39" s="650">
        <v>3501</v>
      </c>
      <c r="D39" s="650"/>
      <c r="E39" s="650" t="s">
        <v>177</v>
      </c>
      <c r="F39" s="650">
        <v>4500</v>
      </c>
      <c r="G39" s="400"/>
      <c r="H39" s="400"/>
      <c r="I39" s="647"/>
      <c r="J39" s="645">
        <v>3.7</v>
      </c>
      <c r="K39" s="645">
        <v>3.8</v>
      </c>
      <c r="L39" s="647"/>
      <c r="M39" s="645">
        <v>5.3</v>
      </c>
      <c r="N39" s="645">
        <v>4.8</v>
      </c>
    </row>
    <row r="40" spans="2:14">
      <c r="B40" s="650"/>
      <c r="C40" s="650"/>
      <c r="D40" s="650"/>
      <c r="E40" s="650"/>
      <c r="F40" s="650"/>
      <c r="G40" s="363">
        <v>6.6</v>
      </c>
      <c r="H40" s="363">
        <v>5.6</v>
      </c>
      <c r="I40" s="647"/>
      <c r="J40" s="645"/>
      <c r="K40" s="645"/>
      <c r="L40" s="647"/>
      <c r="M40" s="645"/>
      <c r="N40" s="645"/>
    </row>
    <row r="41" spans="2:14">
      <c r="B41" s="650" t="s">
        <v>176</v>
      </c>
      <c r="C41" s="650">
        <v>4501</v>
      </c>
      <c r="D41" s="650"/>
      <c r="E41" s="650" t="s">
        <v>177</v>
      </c>
      <c r="F41" s="650">
        <v>5500</v>
      </c>
      <c r="G41" s="400"/>
      <c r="H41" s="400"/>
      <c r="I41" s="647"/>
      <c r="J41" s="645">
        <v>2.5</v>
      </c>
      <c r="K41" s="645">
        <v>2.2999999999999998</v>
      </c>
      <c r="L41" s="647"/>
      <c r="M41" s="645">
        <v>3.1</v>
      </c>
      <c r="N41" s="645">
        <v>2.8</v>
      </c>
    </row>
    <row r="42" spans="2:14">
      <c r="B42" s="650"/>
      <c r="C42" s="650"/>
      <c r="D42" s="650"/>
      <c r="E42" s="650"/>
      <c r="F42" s="650"/>
      <c r="G42" s="363">
        <v>3.5</v>
      </c>
      <c r="H42" s="363">
        <v>3.2</v>
      </c>
      <c r="I42" s="647"/>
      <c r="J42" s="645"/>
      <c r="K42" s="645"/>
      <c r="L42" s="647"/>
      <c r="M42" s="645"/>
      <c r="N42" s="645"/>
    </row>
    <row r="43" spans="2:14">
      <c r="B43" s="650" t="s">
        <v>176</v>
      </c>
      <c r="C43" s="650">
        <v>5501</v>
      </c>
      <c r="D43" s="650"/>
      <c r="E43" s="650" t="s">
        <v>177</v>
      </c>
      <c r="F43" s="650">
        <v>6500</v>
      </c>
      <c r="G43" s="400"/>
      <c r="H43" s="400"/>
      <c r="I43" s="647"/>
      <c r="J43" s="645">
        <v>2.7</v>
      </c>
      <c r="K43" s="645">
        <v>2.5</v>
      </c>
      <c r="L43" s="647"/>
      <c r="M43" s="645">
        <v>2.8</v>
      </c>
      <c r="N43" s="645">
        <v>2.8</v>
      </c>
    </row>
    <row r="44" spans="2:14">
      <c r="B44" s="650"/>
      <c r="C44" s="650"/>
      <c r="D44" s="650"/>
      <c r="E44" s="650"/>
      <c r="F44" s="650"/>
      <c r="G44" s="363">
        <v>2.9</v>
      </c>
      <c r="H44" s="363">
        <v>3.1</v>
      </c>
      <c r="I44" s="647"/>
      <c r="J44" s="645"/>
      <c r="K44" s="645"/>
      <c r="L44" s="647"/>
      <c r="M44" s="645"/>
      <c r="N44" s="645"/>
    </row>
    <row r="45" spans="2:14">
      <c r="B45" s="650" t="s">
        <v>176</v>
      </c>
      <c r="C45" s="650">
        <v>6501</v>
      </c>
      <c r="D45" s="650"/>
      <c r="E45" s="650" t="s">
        <v>177</v>
      </c>
      <c r="F45" s="650">
        <v>7500</v>
      </c>
      <c r="G45" s="400"/>
      <c r="H45" s="400"/>
      <c r="I45" s="647"/>
      <c r="J45" s="645">
        <v>1.4</v>
      </c>
      <c r="K45" s="645">
        <v>1.4</v>
      </c>
      <c r="L45" s="647"/>
      <c r="M45" s="645">
        <v>1.5</v>
      </c>
      <c r="N45" s="645">
        <v>1.5</v>
      </c>
    </row>
    <row r="46" spans="2:14">
      <c r="B46" s="650"/>
      <c r="C46" s="650"/>
      <c r="D46" s="650"/>
      <c r="E46" s="650"/>
      <c r="F46" s="650"/>
      <c r="G46" s="363">
        <v>1.6</v>
      </c>
      <c r="H46" s="363">
        <v>1.7</v>
      </c>
      <c r="I46" s="647"/>
      <c r="J46" s="645"/>
      <c r="K46" s="645"/>
      <c r="L46" s="647"/>
      <c r="M46" s="645"/>
      <c r="N46" s="645"/>
    </row>
    <row r="47" spans="2:14">
      <c r="B47" s="650" t="s">
        <v>176</v>
      </c>
      <c r="C47" s="650">
        <v>7501</v>
      </c>
      <c r="D47" s="650"/>
      <c r="E47" s="650" t="s">
        <v>177</v>
      </c>
      <c r="F47" s="650">
        <v>8500</v>
      </c>
      <c r="G47" s="400"/>
      <c r="H47" s="400"/>
      <c r="I47" s="647"/>
      <c r="J47" s="645">
        <v>1.3</v>
      </c>
      <c r="K47" s="645">
        <v>1.3</v>
      </c>
      <c r="L47" s="647"/>
      <c r="M47" s="645">
        <v>1.8</v>
      </c>
      <c r="N47" s="645">
        <v>1.6</v>
      </c>
    </row>
    <row r="48" spans="2:14">
      <c r="B48" s="650"/>
      <c r="C48" s="650"/>
      <c r="D48" s="650"/>
      <c r="E48" s="650"/>
      <c r="F48" s="650"/>
      <c r="G48" s="363">
        <v>2.1</v>
      </c>
      <c r="H48" s="363">
        <v>1.8</v>
      </c>
      <c r="I48" s="647"/>
      <c r="J48" s="645"/>
      <c r="K48" s="645"/>
      <c r="L48" s="647"/>
      <c r="M48" s="645"/>
      <c r="N48" s="645"/>
    </row>
    <row r="49" spans="2:14">
      <c r="B49" s="646"/>
      <c r="C49" s="646"/>
      <c r="D49" s="646"/>
      <c r="E49" s="646"/>
      <c r="F49" s="646"/>
      <c r="G49" s="400"/>
      <c r="H49" s="400"/>
      <c r="I49" s="647"/>
      <c r="J49" s="645">
        <v>4.0999999999999996</v>
      </c>
      <c r="K49" s="645">
        <v>3.9</v>
      </c>
      <c r="L49" s="647"/>
      <c r="M49" s="645">
        <v>2.9</v>
      </c>
      <c r="N49" s="645">
        <v>2.6</v>
      </c>
    </row>
    <row r="50" spans="2:14" ht="15.75" thickBot="1">
      <c r="B50" s="651" t="s">
        <v>200</v>
      </c>
      <c r="C50" s="651"/>
      <c r="D50" s="652">
        <v>8500</v>
      </c>
      <c r="E50" s="652"/>
      <c r="F50" s="652"/>
      <c r="G50" s="441">
        <v>1.9</v>
      </c>
      <c r="H50" s="441">
        <v>1.6</v>
      </c>
      <c r="I50" s="648"/>
      <c r="J50" s="649"/>
      <c r="K50" s="649"/>
      <c r="L50" s="648"/>
      <c r="M50" s="649"/>
      <c r="N50" s="649"/>
    </row>
    <row r="51" spans="2:14" ht="16.5" thickBot="1">
      <c r="B51" s="643"/>
      <c r="C51" s="643"/>
      <c r="D51" s="644" t="s">
        <v>3</v>
      </c>
      <c r="E51" s="644"/>
      <c r="F51" s="644"/>
      <c r="G51" s="442">
        <v>100</v>
      </c>
      <c r="H51" s="442">
        <v>100</v>
      </c>
      <c r="I51" s="443"/>
      <c r="J51" s="444">
        <v>100</v>
      </c>
      <c r="K51" s="442">
        <v>100</v>
      </c>
      <c r="L51" s="443"/>
      <c r="M51" s="444">
        <v>100</v>
      </c>
      <c r="N51" s="442">
        <v>100</v>
      </c>
    </row>
  </sheetData>
  <mergeCells count="583">
    <mergeCell ref="AY2:BJ2"/>
    <mergeCell ref="BK2:BV2"/>
    <mergeCell ref="EG2:ES2"/>
    <mergeCell ref="ET2:FI2"/>
    <mergeCell ref="CI3:CR3"/>
    <mergeCell ref="CS3:DB3"/>
    <mergeCell ref="DC3:DL3"/>
    <mergeCell ref="DM3:DV3"/>
    <mergeCell ref="DW3:EF3"/>
    <mergeCell ref="BW2:CG2"/>
    <mergeCell ref="CI2:CR2"/>
    <mergeCell ref="CS2:DB2"/>
    <mergeCell ref="DC2:DL2"/>
    <mergeCell ref="DM2:DV2"/>
    <mergeCell ref="DW2:EF2"/>
    <mergeCell ref="AE4:AG4"/>
    <mergeCell ref="AH4:AI4"/>
    <mergeCell ref="AJ4:AK4"/>
    <mergeCell ref="AP4:AS4"/>
    <mergeCell ref="AT4:AU4"/>
    <mergeCell ref="AV4:AX4"/>
    <mergeCell ref="B2:N2"/>
    <mergeCell ref="O2:Z2"/>
    <mergeCell ref="AA2:AK2"/>
    <mergeCell ref="AL2:AW2"/>
    <mergeCell ref="CB4:CD4"/>
    <mergeCell ref="CE4:CF4"/>
    <mergeCell ref="CG4:CH4"/>
    <mergeCell ref="CE5:CE7"/>
    <mergeCell ref="G4:H4"/>
    <mergeCell ref="J4:K4"/>
    <mergeCell ref="M4:N4"/>
    <mergeCell ref="S4:U4"/>
    <mergeCell ref="V4:W4"/>
    <mergeCell ref="X4:Z4"/>
    <mergeCell ref="L5:L7"/>
    <mergeCell ref="M5:M7"/>
    <mergeCell ref="S5:T7"/>
    <mergeCell ref="V5:V7"/>
    <mergeCell ref="X5:Y7"/>
    <mergeCell ref="AE5:AF7"/>
    <mergeCell ref="AH5:AH7"/>
    <mergeCell ref="AP5:AQ7"/>
    <mergeCell ref="BC4:BE4"/>
    <mergeCell ref="BF4:BG4"/>
    <mergeCell ref="BH4:BJ4"/>
    <mergeCell ref="BO4:BQ4"/>
    <mergeCell ref="BR4:BT4"/>
    <mergeCell ref="BU4:BV4"/>
    <mergeCell ref="EP6:ER6"/>
    <mergeCell ref="ES6:ES7"/>
    <mergeCell ref="EX6:EZ6"/>
    <mergeCell ref="EC5:EC7"/>
    <mergeCell ref="EH5:EK5"/>
    <mergeCell ref="EL5:EO5"/>
    <mergeCell ref="EP5:ES5"/>
    <mergeCell ref="EX5:FA5"/>
    <mergeCell ref="FA6:FA7"/>
    <mergeCell ref="EG4:EG7"/>
    <mergeCell ref="EH4:ES4"/>
    <mergeCell ref="EX4:FI4"/>
    <mergeCell ref="FF5:FI5"/>
    <mergeCell ref="FB5:FE5"/>
    <mergeCell ref="FB6:FD6"/>
    <mergeCell ref="FE6:FE7"/>
    <mergeCell ref="FF6:FH6"/>
    <mergeCell ref="FI6:FI7"/>
    <mergeCell ref="BW8:BZ8"/>
    <mergeCell ref="CB8:CC8"/>
    <mergeCell ref="AR6:AS7"/>
    <mergeCell ref="BT6:BT7"/>
    <mergeCell ref="EH6:EJ6"/>
    <mergeCell ref="EK6:EK7"/>
    <mergeCell ref="EL6:EN6"/>
    <mergeCell ref="EO6:EO7"/>
    <mergeCell ref="CY5:CY7"/>
    <mergeCell ref="DG5:DG7"/>
    <mergeCell ref="DI5:DI7"/>
    <mergeCell ref="DQ5:DQ7"/>
    <mergeCell ref="DS5:DS7"/>
    <mergeCell ref="CM5:CM7"/>
    <mergeCell ref="CO5:CO7"/>
    <mergeCell ref="CW5:CW7"/>
    <mergeCell ref="EA5:EA7"/>
    <mergeCell ref="BF5:BF7"/>
    <mergeCell ref="BH5:BI7"/>
    <mergeCell ref="BO5:BP7"/>
    <mergeCell ref="BR5:BS7"/>
    <mergeCell ref="BU5:BU7"/>
    <mergeCell ref="CB5:CC7"/>
    <mergeCell ref="AR5:AS5"/>
    <mergeCell ref="AT5:AT7"/>
    <mergeCell ref="AV5:AW7"/>
    <mergeCell ref="BC5:BD7"/>
    <mergeCell ref="AR8:AS8"/>
    <mergeCell ref="AV8:AW8"/>
    <mergeCell ref="BC8:BD8"/>
    <mergeCell ref="BH8:BI8"/>
    <mergeCell ref="B8:B9"/>
    <mergeCell ref="C8:D9"/>
    <mergeCell ref="E8:E9"/>
    <mergeCell ref="F8:F9"/>
    <mergeCell ref="I8:I9"/>
    <mergeCell ref="J8:J9"/>
    <mergeCell ref="K8:K9"/>
    <mergeCell ref="L8:L9"/>
    <mergeCell ref="B5:D7"/>
    <mergeCell ref="E5:E7"/>
    <mergeCell ref="F5:F7"/>
    <mergeCell ref="G5:G7"/>
    <mergeCell ref="I5:I7"/>
    <mergeCell ref="J5:J7"/>
    <mergeCell ref="BR9:BS9"/>
    <mergeCell ref="BW9:BZ9"/>
    <mergeCell ref="S9:T9"/>
    <mergeCell ref="X9:Y9"/>
    <mergeCell ref="AE9:AF9"/>
    <mergeCell ref="AP9:AQ9"/>
    <mergeCell ref="AR9:AS9"/>
    <mergeCell ref="AV9:AW9"/>
    <mergeCell ref="BC9:BD9"/>
    <mergeCell ref="BH9:BI9"/>
    <mergeCell ref="N11:N12"/>
    <mergeCell ref="CB9:CC9"/>
    <mergeCell ref="C10:D10"/>
    <mergeCell ref="S10:T10"/>
    <mergeCell ref="X10:Y10"/>
    <mergeCell ref="AE10:AF10"/>
    <mergeCell ref="AP10:AQ10"/>
    <mergeCell ref="AR10:AS10"/>
    <mergeCell ref="M8:M9"/>
    <mergeCell ref="N8:N9"/>
    <mergeCell ref="CB10:CC10"/>
    <mergeCell ref="AV10:AW10"/>
    <mergeCell ref="BC10:BD10"/>
    <mergeCell ref="BH10:BI10"/>
    <mergeCell ref="BO10:BP10"/>
    <mergeCell ref="BR10:BS10"/>
    <mergeCell ref="BZ10:CA10"/>
    <mergeCell ref="BO8:BP8"/>
    <mergeCell ref="BR8:BS8"/>
    <mergeCell ref="S8:T8"/>
    <mergeCell ref="X8:Y8"/>
    <mergeCell ref="AE8:AF8"/>
    <mergeCell ref="AP8:AQ8"/>
    <mergeCell ref="BO9:BP9"/>
    <mergeCell ref="B11:B12"/>
    <mergeCell ref="C11:D12"/>
    <mergeCell ref="E11:E12"/>
    <mergeCell ref="F11:F12"/>
    <mergeCell ref="I11:I12"/>
    <mergeCell ref="J11:J12"/>
    <mergeCell ref="K11:K12"/>
    <mergeCell ref="L11:L12"/>
    <mergeCell ref="M11:M12"/>
    <mergeCell ref="CB11:CC11"/>
    <mergeCell ref="S12:T12"/>
    <mergeCell ref="X12:Y12"/>
    <mergeCell ref="AE12:AF12"/>
    <mergeCell ref="AP12:AQ12"/>
    <mergeCell ref="AR12:AS12"/>
    <mergeCell ref="AV12:AW12"/>
    <mergeCell ref="BC12:BD12"/>
    <mergeCell ref="BH12:BI12"/>
    <mergeCell ref="BO12:BP12"/>
    <mergeCell ref="AV11:AW11"/>
    <mergeCell ref="BC11:BD11"/>
    <mergeCell ref="BH11:BI11"/>
    <mergeCell ref="BO11:BP11"/>
    <mergeCell ref="BR11:BS11"/>
    <mergeCell ref="BZ11:CA11"/>
    <mergeCell ref="S11:T11"/>
    <mergeCell ref="X11:Y11"/>
    <mergeCell ref="AE11:AF11"/>
    <mergeCell ref="AP11:AQ11"/>
    <mergeCell ref="AR11:AS11"/>
    <mergeCell ref="BR12:BS12"/>
    <mergeCell ref="BZ12:CA12"/>
    <mergeCell ref="CB12:CC12"/>
    <mergeCell ref="CB13:CC13"/>
    <mergeCell ref="S14:T14"/>
    <mergeCell ref="X14:Y14"/>
    <mergeCell ref="AE14:AF14"/>
    <mergeCell ref="AP14:AQ14"/>
    <mergeCell ref="AR14:AS14"/>
    <mergeCell ref="AV14:AW14"/>
    <mergeCell ref="BC14:BD14"/>
    <mergeCell ref="AP13:AQ13"/>
    <mergeCell ref="AR13:AS13"/>
    <mergeCell ref="AV13:AW13"/>
    <mergeCell ref="BC13:BD13"/>
    <mergeCell ref="BH13:BI13"/>
    <mergeCell ref="BO13:BP13"/>
    <mergeCell ref="S13:T13"/>
    <mergeCell ref="X13:Y13"/>
    <mergeCell ref="AE13:AF13"/>
    <mergeCell ref="BH14:BI14"/>
    <mergeCell ref="BO14:BP14"/>
    <mergeCell ref="BR14:BS14"/>
    <mergeCell ref="BZ14:CA14"/>
    <mergeCell ref="CB14:CC14"/>
    <mergeCell ref="BR13:BS13"/>
    <mergeCell ref="BZ13:CA13"/>
    <mergeCell ref="B15:B16"/>
    <mergeCell ref="C15:D16"/>
    <mergeCell ref="E15:E16"/>
    <mergeCell ref="F15:F16"/>
    <mergeCell ref="I15:I16"/>
    <mergeCell ref="L13:L14"/>
    <mergeCell ref="M13:M14"/>
    <mergeCell ref="N13:N14"/>
    <mergeCell ref="BH15:BI15"/>
    <mergeCell ref="J15:J16"/>
    <mergeCell ref="K15:K16"/>
    <mergeCell ref="L15:L16"/>
    <mergeCell ref="M15:M16"/>
    <mergeCell ref="N15:N16"/>
    <mergeCell ref="B13:B14"/>
    <mergeCell ref="C13:D14"/>
    <mergeCell ref="E13:E14"/>
    <mergeCell ref="F13:F14"/>
    <mergeCell ref="I13:I14"/>
    <mergeCell ref="J13:J14"/>
    <mergeCell ref="K13:K14"/>
    <mergeCell ref="N17:N18"/>
    <mergeCell ref="BO15:BP15"/>
    <mergeCell ref="BR15:BS15"/>
    <mergeCell ref="BZ15:CA15"/>
    <mergeCell ref="CB15:CC15"/>
    <mergeCell ref="S16:T16"/>
    <mergeCell ref="X16:Y16"/>
    <mergeCell ref="AE16:AF16"/>
    <mergeCell ref="AP16:AQ16"/>
    <mergeCell ref="AR16:AS16"/>
    <mergeCell ref="X15:Y15"/>
    <mergeCell ref="AE15:AF15"/>
    <mergeCell ref="AP15:AQ15"/>
    <mergeCell ref="AR15:AS15"/>
    <mergeCell ref="AV15:AW15"/>
    <mergeCell ref="BC15:BD15"/>
    <mergeCell ref="S15:T15"/>
    <mergeCell ref="CB16:CC16"/>
    <mergeCell ref="AV16:AW16"/>
    <mergeCell ref="BC16:BD16"/>
    <mergeCell ref="BH16:BI16"/>
    <mergeCell ref="BO16:BP16"/>
    <mergeCell ref="BR16:BS16"/>
    <mergeCell ref="BZ16:CA16"/>
    <mergeCell ref="B17:B18"/>
    <mergeCell ref="C17:D18"/>
    <mergeCell ref="E17:E18"/>
    <mergeCell ref="F17:F18"/>
    <mergeCell ref="I17:I18"/>
    <mergeCell ref="J17:J18"/>
    <mergeCell ref="K17:K18"/>
    <mergeCell ref="L17:L18"/>
    <mergeCell ref="M17:M18"/>
    <mergeCell ref="CB17:CC17"/>
    <mergeCell ref="S18:T18"/>
    <mergeCell ref="X18:Y18"/>
    <mergeCell ref="AE18:AF18"/>
    <mergeCell ref="AP18:AQ18"/>
    <mergeCell ref="AR18:AS18"/>
    <mergeCell ref="AV18:AW18"/>
    <mergeCell ref="BC18:BD18"/>
    <mergeCell ref="BH18:BI18"/>
    <mergeCell ref="BO18:BP18"/>
    <mergeCell ref="AV17:AW17"/>
    <mergeCell ref="BC17:BD17"/>
    <mergeCell ref="BH17:BI17"/>
    <mergeCell ref="BO17:BP17"/>
    <mergeCell ref="BR17:BS17"/>
    <mergeCell ref="BZ17:CA17"/>
    <mergeCell ref="S17:T17"/>
    <mergeCell ref="X17:Y17"/>
    <mergeCell ref="AE17:AF17"/>
    <mergeCell ref="AP17:AQ17"/>
    <mergeCell ref="AR17:AS17"/>
    <mergeCell ref="BR18:BS18"/>
    <mergeCell ref="BZ18:CA18"/>
    <mergeCell ref="CB18:CC18"/>
    <mergeCell ref="CB19:CC19"/>
    <mergeCell ref="S20:T20"/>
    <mergeCell ref="X20:Y20"/>
    <mergeCell ref="AE20:AF20"/>
    <mergeCell ref="AP20:AQ20"/>
    <mergeCell ref="AR20:AS20"/>
    <mergeCell ref="AV20:AW20"/>
    <mergeCell ref="BC20:BD20"/>
    <mergeCell ref="AP19:AQ19"/>
    <mergeCell ref="AR19:AS19"/>
    <mergeCell ref="AV19:AW19"/>
    <mergeCell ref="BC19:BD19"/>
    <mergeCell ref="BH19:BI19"/>
    <mergeCell ref="BO19:BP19"/>
    <mergeCell ref="S19:T19"/>
    <mergeCell ref="X19:Y19"/>
    <mergeCell ref="AE19:AF19"/>
    <mergeCell ref="BH20:BI20"/>
    <mergeCell ref="BO20:BP20"/>
    <mergeCell ref="BR20:BS20"/>
    <mergeCell ref="BZ20:CA20"/>
    <mergeCell ref="CB20:CC20"/>
    <mergeCell ref="BR19:BS19"/>
    <mergeCell ref="BZ19:CA19"/>
    <mergeCell ref="B21:B22"/>
    <mergeCell ref="C21:D22"/>
    <mergeCell ref="E21:E22"/>
    <mergeCell ref="F21:F22"/>
    <mergeCell ref="I21:I22"/>
    <mergeCell ref="L19:L20"/>
    <mergeCell ref="M19:M20"/>
    <mergeCell ref="N19:N20"/>
    <mergeCell ref="BH21:BI21"/>
    <mergeCell ref="J21:J22"/>
    <mergeCell ref="K21:K22"/>
    <mergeCell ref="L21:L22"/>
    <mergeCell ref="M21:M22"/>
    <mergeCell ref="N21:N22"/>
    <mergeCell ref="B19:B20"/>
    <mergeCell ref="C19:D20"/>
    <mergeCell ref="E19:E20"/>
    <mergeCell ref="F19:F20"/>
    <mergeCell ref="I19:I20"/>
    <mergeCell ref="J19:J20"/>
    <mergeCell ref="K19:K20"/>
    <mergeCell ref="N23:N24"/>
    <mergeCell ref="BO21:BP21"/>
    <mergeCell ref="BR21:BS21"/>
    <mergeCell ref="BZ21:CA21"/>
    <mergeCell ref="CB21:CC21"/>
    <mergeCell ref="S22:T22"/>
    <mergeCell ref="X22:Y22"/>
    <mergeCell ref="AE22:AF22"/>
    <mergeCell ref="AP22:AQ22"/>
    <mergeCell ref="AR22:AS22"/>
    <mergeCell ref="X21:Y21"/>
    <mergeCell ref="AE21:AF21"/>
    <mergeCell ref="AP21:AQ21"/>
    <mergeCell ref="AR21:AS21"/>
    <mergeCell ref="AV21:AW21"/>
    <mergeCell ref="BC21:BD21"/>
    <mergeCell ref="S21:T21"/>
    <mergeCell ref="CB22:CC22"/>
    <mergeCell ref="AV22:AW22"/>
    <mergeCell ref="BC22:BD22"/>
    <mergeCell ref="BH22:BI22"/>
    <mergeCell ref="BO22:BP22"/>
    <mergeCell ref="BR22:BS22"/>
    <mergeCell ref="BZ22:CA22"/>
    <mergeCell ref="B23:B24"/>
    <mergeCell ref="C23:D24"/>
    <mergeCell ref="E23:E24"/>
    <mergeCell ref="F23:F24"/>
    <mergeCell ref="I23:I24"/>
    <mergeCell ref="J23:J24"/>
    <mergeCell ref="K23:K24"/>
    <mergeCell ref="L23:L24"/>
    <mergeCell ref="M23:M24"/>
    <mergeCell ref="CB23:CC23"/>
    <mergeCell ref="S24:T24"/>
    <mergeCell ref="X24:Y24"/>
    <mergeCell ref="AE24:AF24"/>
    <mergeCell ref="AP24:AQ24"/>
    <mergeCell ref="AR24:AS24"/>
    <mergeCell ref="AV24:AW24"/>
    <mergeCell ref="BC24:BD24"/>
    <mergeCell ref="BH24:BI24"/>
    <mergeCell ref="BO24:BP24"/>
    <mergeCell ref="AV23:AW23"/>
    <mergeCell ref="BC23:BD23"/>
    <mergeCell ref="BH23:BI23"/>
    <mergeCell ref="BO23:BP23"/>
    <mergeCell ref="BR23:BS23"/>
    <mergeCell ref="BZ23:CA23"/>
    <mergeCell ref="S23:T23"/>
    <mergeCell ref="X23:Y23"/>
    <mergeCell ref="AE23:AF23"/>
    <mergeCell ref="AP23:AQ23"/>
    <mergeCell ref="AR23:AS23"/>
    <mergeCell ref="BR24:BS24"/>
    <mergeCell ref="BZ24:CA24"/>
    <mergeCell ref="CB24:CC24"/>
    <mergeCell ref="BH26:BI26"/>
    <mergeCell ref="BO26:BP26"/>
    <mergeCell ref="BR26:BS26"/>
    <mergeCell ref="BZ26:CA26"/>
    <mergeCell ref="CB26:CC26"/>
    <mergeCell ref="B25:B26"/>
    <mergeCell ref="C25:D26"/>
    <mergeCell ref="E25:E26"/>
    <mergeCell ref="F25:F26"/>
    <mergeCell ref="I25:I26"/>
    <mergeCell ref="J25:J26"/>
    <mergeCell ref="K25:K26"/>
    <mergeCell ref="BR25:BS25"/>
    <mergeCell ref="AE25:AF25"/>
    <mergeCell ref="E27:E28"/>
    <mergeCell ref="F27:F28"/>
    <mergeCell ref="I27:I28"/>
    <mergeCell ref="L25:L26"/>
    <mergeCell ref="M25:M26"/>
    <mergeCell ref="N25:N26"/>
    <mergeCell ref="BH27:BI27"/>
    <mergeCell ref="BZ25:CA25"/>
    <mergeCell ref="CB25:CC25"/>
    <mergeCell ref="S26:T26"/>
    <mergeCell ref="X26:Y26"/>
    <mergeCell ref="AE26:AF26"/>
    <mergeCell ref="AP26:AQ26"/>
    <mergeCell ref="AR26:AS26"/>
    <mergeCell ref="AV26:AW26"/>
    <mergeCell ref="BC26:BD26"/>
    <mergeCell ref="AP25:AQ25"/>
    <mergeCell ref="AR25:AS25"/>
    <mergeCell ref="AV25:AW25"/>
    <mergeCell ref="BC25:BD25"/>
    <mergeCell ref="BH25:BI25"/>
    <mergeCell ref="BO25:BP25"/>
    <mergeCell ref="S25:T25"/>
    <mergeCell ref="X25:Y25"/>
    <mergeCell ref="BO27:BP27"/>
    <mergeCell ref="BR27:BS27"/>
    <mergeCell ref="BZ27:CA27"/>
    <mergeCell ref="CB27:CC27"/>
    <mergeCell ref="S28:T28"/>
    <mergeCell ref="X28:Y28"/>
    <mergeCell ref="AE28:AF28"/>
    <mergeCell ref="AL28:AM28"/>
    <mergeCell ref="AP28:AQ28"/>
    <mergeCell ref="X27:Y27"/>
    <mergeCell ref="AE27:AF27"/>
    <mergeCell ref="AP27:AQ27"/>
    <mergeCell ref="AR27:AS27"/>
    <mergeCell ref="AV27:AW27"/>
    <mergeCell ref="BC27:BD27"/>
    <mergeCell ref="S27:T27"/>
    <mergeCell ref="BO28:BP28"/>
    <mergeCell ref="BR28:BS28"/>
    <mergeCell ref="BW28:BX28"/>
    <mergeCell ref="BZ28:CA28"/>
    <mergeCell ref="CB28:CC28"/>
    <mergeCell ref="BH28:BI28"/>
    <mergeCell ref="BK28:BL28"/>
    <mergeCell ref="B29:B30"/>
    <mergeCell ref="C29:D30"/>
    <mergeCell ref="E29:E30"/>
    <mergeCell ref="F29:F30"/>
    <mergeCell ref="I29:I30"/>
    <mergeCell ref="AR28:AS28"/>
    <mergeCell ref="AV28:AW28"/>
    <mergeCell ref="AY28:AZ28"/>
    <mergeCell ref="BC28:BD28"/>
    <mergeCell ref="J27:J28"/>
    <mergeCell ref="K27:K28"/>
    <mergeCell ref="L27:L28"/>
    <mergeCell ref="M27:M28"/>
    <mergeCell ref="N27:N28"/>
    <mergeCell ref="AU29:AV29"/>
    <mergeCell ref="AY29:BC29"/>
    <mergeCell ref="W30:X30"/>
    <mergeCell ref="AA30:AE30"/>
    <mergeCell ref="M29:M30"/>
    <mergeCell ref="N29:N30"/>
    <mergeCell ref="O29:P29"/>
    <mergeCell ref="O30:S30"/>
    <mergeCell ref="B27:B28"/>
    <mergeCell ref="C27:D28"/>
    <mergeCell ref="J29:J30"/>
    <mergeCell ref="K29:K30"/>
    <mergeCell ref="L29:L30"/>
    <mergeCell ref="BG29:BH29"/>
    <mergeCell ref="BK29:BO29"/>
    <mergeCell ref="BQ29:BR29"/>
    <mergeCell ref="BW29:CB29"/>
    <mergeCell ref="S29:T29"/>
    <mergeCell ref="X29:Y29"/>
    <mergeCell ref="AA29:AB29"/>
    <mergeCell ref="AE29:AF29"/>
    <mergeCell ref="AL29:AP29"/>
    <mergeCell ref="AS29:AT29"/>
    <mergeCell ref="M31:M32"/>
    <mergeCell ref="N31:N32"/>
    <mergeCell ref="B33:B34"/>
    <mergeCell ref="C33:D34"/>
    <mergeCell ref="E33:E34"/>
    <mergeCell ref="F33:F34"/>
    <mergeCell ref="I33:I34"/>
    <mergeCell ref="J33:J34"/>
    <mergeCell ref="K33:K34"/>
    <mergeCell ref="L33:L34"/>
    <mergeCell ref="M33:M34"/>
    <mergeCell ref="N33:N34"/>
    <mergeCell ref="B31:B32"/>
    <mergeCell ref="C31:D32"/>
    <mergeCell ref="E31:E32"/>
    <mergeCell ref="F31:F32"/>
    <mergeCell ref="I31:I32"/>
    <mergeCell ref="J31:J32"/>
    <mergeCell ref="K31:K32"/>
    <mergeCell ref="L31:L32"/>
    <mergeCell ref="N35:N36"/>
    <mergeCell ref="B37:B38"/>
    <mergeCell ref="C37:D38"/>
    <mergeCell ref="E37:E38"/>
    <mergeCell ref="F37:F38"/>
    <mergeCell ref="I37:I38"/>
    <mergeCell ref="J37:J38"/>
    <mergeCell ref="K37:K38"/>
    <mergeCell ref="L37:L38"/>
    <mergeCell ref="M37:M38"/>
    <mergeCell ref="N37:N38"/>
    <mergeCell ref="B35:B36"/>
    <mergeCell ref="C35:D36"/>
    <mergeCell ref="E35:E36"/>
    <mergeCell ref="F35:F36"/>
    <mergeCell ref="I35:I36"/>
    <mergeCell ref="J35:J36"/>
    <mergeCell ref="K35:K36"/>
    <mergeCell ref="L35:L36"/>
    <mergeCell ref="M35:M36"/>
    <mergeCell ref="N39:N40"/>
    <mergeCell ref="B41:B42"/>
    <mergeCell ref="C41:D42"/>
    <mergeCell ref="E41:E42"/>
    <mergeCell ref="F41:F42"/>
    <mergeCell ref="I41:I42"/>
    <mergeCell ref="J41:J42"/>
    <mergeCell ref="K41:K42"/>
    <mergeCell ref="L41:L42"/>
    <mergeCell ref="M41:M42"/>
    <mergeCell ref="N41:N42"/>
    <mergeCell ref="B39:B40"/>
    <mergeCell ref="C39:D40"/>
    <mergeCell ref="E39:E40"/>
    <mergeCell ref="F39:F40"/>
    <mergeCell ref="I39:I40"/>
    <mergeCell ref="J39:J40"/>
    <mergeCell ref="K39:K40"/>
    <mergeCell ref="L39:L40"/>
    <mergeCell ref="M39:M40"/>
    <mergeCell ref="N43:N44"/>
    <mergeCell ref="B45:B46"/>
    <mergeCell ref="C45:D46"/>
    <mergeCell ref="E45:E46"/>
    <mergeCell ref="F45:F46"/>
    <mergeCell ref="I45:I46"/>
    <mergeCell ref="J45:J46"/>
    <mergeCell ref="K45:K46"/>
    <mergeCell ref="L45:L46"/>
    <mergeCell ref="M45:M46"/>
    <mergeCell ref="N45:N46"/>
    <mergeCell ref="B43:B44"/>
    <mergeCell ref="C43:D44"/>
    <mergeCell ref="E43:E44"/>
    <mergeCell ref="F43:F44"/>
    <mergeCell ref="I43:I44"/>
    <mergeCell ref="J43:J44"/>
    <mergeCell ref="K43:K44"/>
    <mergeCell ref="L43:L44"/>
    <mergeCell ref="M43:M44"/>
    <mergeCell ref="B51:C51"/>
    <mergeCell ref="D51:F51"/>
    <mergeCell ref="M47:M48"/>
    <mergeCell ref="N47:N48"/>
    <mergeCell ref="B49:C49"/>
    <mergeCell ref="D49:F49"/>
    <mergeCell ref="I49:I50"/>
    <mergeCell ref="J49:J50"/>
    <mergeCell ref="K49:K50"/>
    <mergeCell ref="L49:L50"/>
    <mergeCell ref="M49:M50"/>
    <mergeCell ref="N49:N50"/>
    <mergeCell ref="B47:B48"/>
    <mergeCell ref="C47:D48"/>
    <mergeCell ref="E47:E48"/>
    <mergeCell ref="F47:F48"/>
    <mergeCell ref="I47:I48"/>
    <mergeCell ref="J47:J48"/>
    <mergeCell ref="K47:K48"/>
    <mergeCell ref="L47:L48"/>
    <mergeCell ref="B50:C50"/>
    <mergeCell ref="D50:F50"/>
  </mergeCells>
  <pageMargins left="0.511811024" right="0.511811024" top="0.78740157499999996" bottom="0.78740157499999996" header="0.31496062000000002" footer="0.3149606200000000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5" tint="0.79998168889431442"/>
  </sheetPr>
  <dimension ref="A1:AA90"/>
  <sheetViews>
    <sheetView showGridLines="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L10" sqref="L10"/>
    </sheetView>
  </sheetViews>
  <sheetFormatPr defaultRowHeight="15"/>
  <cols>
    <col min="1" max="1" width="12.140625" customWidth="1"/>
    <col min="2" max="2" width="18.5703125" customWidth="1"/>
    <col min="3" max="3" width="13.42578125" customWidth="1"/>
    <col min="4" max="26" width="9.140625" style="548" customWidth="1"/>
    <col min="27" max="1024" width="9.140625" customWidth="1"/>
  </cols>
  <sheetData>
    <row r="1" spans="1:27" ht="18">
      <c r="A1" s="195" t="s">
        <v>205</v>
      </c>
      <c r="B1" s="454"/>
      <c r="C1" s="454"/>
      <c r="D1" s="455"/>
      <c r="E1" s="455"/>
      <c r="F1" s="455"/>
      <c r="G1" s="455"/>
      <c r="H1" s="455"/>
      <c r="I1" s="455"/>
      <c r="J1" s="455"/>
      <c r="K1" s="456"/>
      <c r="L1" s="457"/>
      <c r="M1" s="457"/>
      <c r="N1" s="458"/>
      <c r="O1" s="457"/>
      <c r="P1" s="457"/>
      <c r="Q1" s="459"/>
      <c r="R1" s="459"/>
      <c r="S1" s="459"/>
      <c r="T1" s="459"/>
      <c r="U1" s="459"/>
      <c r="V1" s="459"/>
      <c r="W1" s="459"/>
      <c r="X1" s="459"/>
      <c r="Y1" s="459"/>
      <c r="Z1" s="459"/>
    </row>
    <row r="2" spans="1:27">
      <c r="A2" s="446" t="s">
        <v>206</v>
      </c>
      <c r="B2" s="446"/>
      <c r="C2" s="446"/>
      <c r="D2" s="447"/>
      <c r="E2" s="447"/>
      <c r="F2" s="447"/>
      <c r="G2" s="447"/>
      <c r="H2" s="447"/>
      <c r="I2" s="447"/>
      <c r="J2" s="447"/>
      <c r="K2" s="460"/>
      <c r="L2" s="460"/>
      <c r="M2" s="460"/>
      <c r="N2" s="460"/>
      <c r="O2" s="447"/>
      <c r="P2" s="447"/>
      <c r="Q2" s="459"/>
      <c r="R2" s="459"/>
      <c r="S2" s="459"/>
      <c r="T2" s="459"/>
      <c r="U2" s="459"/>
      <c r="V2" s="459"/>
      <c r="W2" s="461"/>
      <c r="X2" s="461"/>
      <c r="Y2" s="461"/>
      <c r="Z2" s="462"/>
    </row>
    <row r="3" spans="1:27">
      <c r="A3" s="463"/>
      <c r="B3" s="463"/>
      <c r="C3" s="464" t="s">
        <v>207</v>
      </c>
      <c r="D3" s="465">
        <v>1991</v>
      </c>
      <c r="E3" s="465">
        <v>1992</v>
      </c>
      <c r="F3" s="465">
        <v>1993</v>
      </c>
      <c r="G3" s="465">
        <v>1994</v>
      </c>
      <c r="H3" s="465">
        <v>1995</v>
      </c>
      <c r="I3" s="465">
        <v>1996</v>
      </c>
      <c r="J3" s="465">
        <v>1997</v>
      </c>
      <c r="K3" s="465">
        <v>1998</v>
      </c>
      <c r="L3" s="465">
        <v>1999</v>
      </c>
      <c r="M3" s="465">
        <v>2000</v>
      </c>
      <c r="N3" s="465">
        <v>2001</v>
      </c>
      <c r="O3" s="465">
        <v>2002</v>
      </c>
      <c r="P3" s="465">
        <v>2003</v>
      </c>
      <c r="Q3" s="465">
        <v>2004</v>
      </c>
      <c r="R3" s="466">
        <v>2005</v>
      </c>
      <c r="S3" s="274">
        <v>2006</v>
      </c>
      <c r="T3" s="274">
        <v>2007</v>
      </c>
      <c r="U3" s="274">
        <v>2008</v>
      </c>
      <c r="V3" s="274">
        <v>2009</v>
      </c>
      <c r="W3" s="274">
        <v>2010</v>
      </c>
      <c r="X3" s="274">
        <v>2011</v>
      </c>
      <c r="Y3" s="274">
        <v>2012</v>
      </c>
      <c r="Z3" s="274">
        <v>2013</v>
      </c>
      <c r="AA3" s="467">
        <v>2014</v>
      </c>
    </row>
    <row r="4" spans="1:27">
      <c r="A4" s="727" t="s">
        <v>208</v>
      </c>
      <c r="B4" s="727"/>
      <c r="C4" s="468" t="s">
        <v>159</v>
      </c>
      <c r="D4" s="469">
        <v>991996</v>
      </c>
      <c r="E4" s="469">
        <v>998021</v>
      </c>
      <c r="F4" s="469">
        <v>969096</v>
      </c>
      <c r="G4" s="469">
        <v>964032</v>
      </c>
      <c r="H4" s="469">
        <v>951585</v>
      </c>
      <c r="I4" s="469">
        <v>929375</v>
      </c>
      <c r="J4" s="469">
        <v>900128</v>
      </c>
      <c r="K4" s="469">
        <v>841851</v>
      </c>
      <c r="L4" s="469">
        <v>866799</v>
      </c>
      <c r="M4" s="469">
        <v>864408</v>
      </c>
      <c r="N4" s="469">
        <v>857283</v>
      </c>
      <c r="O4" s="469">
        <v>809975</v>
      </c>
      <c r="P4" s="469">
        <v>856236</v>
      </c>
      <c r="Q4" s="469">
        <v>884091</v>
      </c>
      <c r="R4" s="469">
        <v>873447</v>
      </c>
      <c r="S4" s="469">
        <v>887579</v>
      </c>
      <c r="T4" s="469">
        <v>896333</v>
      </c>
      <c r="U4" s="469">
        <v>913417</v>
      </c>
      <c r="V4" s="469">
        <v>926800</v>
      </c>
      <c r="W4" s="469">
        <v>970605</v>
      </c>
      <c r="X4" s="469">
        <v>984330</v>
      </c>
      <c r="Y4" s="469">
        <v>999661</v>
      </c>
      <c r="Z4" s="469">
        <v>1017221</v>
      </c>
      <c r="AA4" s="470">
        <f>AA9+AA39</f>
        <v>1064734</v>
      </c>
    </row>
    <row r="5" spans="1:27">
      <c r="A5" s="728"/>
      <c r="B5" s="728"/>
      <c r="C5" s="471" t="s">
        <v>160</v>
      </c>
      <c r="D5" s="472">
        <v>348630</v>
      </c>
      <c r="E5" s="472">
        <v>411919</v>
      </c>
      <c r="F5" s="472">
        <v>422514</v>
      </c>
      <c r="G5" s="472">
        <v>433433</v>
      </c>
      <c r="H5" s="472">
        <v>483228</v>
      </c>
      <c r="I5" s="472">
        <v>501784</v>
      </c>
      <c r="J5" s="472">
        <v>501103</v>
      </c>
      <c r="K5" s="472">
        <v>519398</v>
      </c>
      <c r="L5" s="472">
        <v>527355</v>
      </c>
      <c r="M5" s="472">
        <v>523507</v>
      </c>
      <c r="N5" s="472">
        <v>519503</v>
      </c>
      <c r="O5" s="472">
        <v>516192</v>
      </c>
      <c r="P5" s="472">
        <v>522399</v>
      </c>
      <c r="Q5" s="472">
        <v>521592</v>
      </c>
      <c r="R5" s="472">
        <v>514678</v>
      </c>
      <c r="S5" s="472">
        <v>508460</v>
      </c>
      <c r="T5" s="472">
        <v>505917</v>
      </c>
      <c r="U5" s="472">
        <v>507379</v>
      </c>
      <c r="V5" s="472">
        <v>510903</v>
      </c>
      <c r="W5" s="472">
        <v>516635</v>
      </c>
      <c r="X5" s="472">
        <v>522707</v>
      </c>
      <c r="Y5" s="472">
        <v>530384</v>
      </c>
      <c r="Z5" s="472">
        <v>532894</v>
      </c>
      <c r="AA5" s="473">
        <f>AA10+AA40</f>
        <v>535889</v>
      </c>
    </row>
    <row r="6" spans="1:27">
      <c r="A6" s="728"/>
      <c r="B6" s="728"/>
      <c r="C6" s="471" t="s">
        <v>209</v>
      </c>
      <c r="D6" s="472">
        <v>132750</v>
      </c>
      <c r="E6" s="472">
        <v>149737</v>
      </c>
      <c r="F6" s="472">
        <v>232916</v>
      </c>
      <c r="G6" s="472">
        <v>283944</v>
      </c>
      <c r="H6" s="472">
        <v>295309</v>
      </c>
      <c r="I6" s="472">
        <v>336199</v>
      </c>
      <c r="J6" s="472">
        <v>349786</v>
      </c>
      <c r="K6" s="472">
        <v>366144</v>
      </c>
      <c r="L6" s="472">
        <v>366067</v>
      </c>
      <c r="M6" s="472">
        <v>376787</v>
      </c>
      <c r="N6" s="472">
        <v>386603</v>
      </c>
      <c r="O6" s="472">
        <v>396143</v>
      </c>
      <c r="P6" s="472">
        <v>406551</v>
      </c>
      <c r="Q6" s="472">
        <v>423847</v>
      </c>
      <c r="R6" s="472">
        <v>425175</v>
      </c>
      <c r="S6" s="472">
        <v>432964</v>
      </c>
      <c r="T6" s="472">
        <v>438362</v>
      </c>
      <c r="U6" s="472">
        <v>442328</v>
      </c>
      <c r="V6" s="472">
        <v>393308</v>
      </c>
      <c r="W6" s="472">
        <v>397280</v>
      </c>
      <c r="X6" s="472">
        <v>400256</v>
      </c>
      <c r="Y6" s="472">
        <v>401096</v>
      </c>
      <c r="Z6" s="472">
        <v>402166</v>
      </c>
      <c r="AA6" s="473">
        <f>AA11+AA41</f>
        <v>402479</v>
      </c>
    </row>
    <row r="7" spans="1:27">
      <c r="A7" s="728"/>
      <c r="B7" s="728"/>
      <c r="C7" s="474" t="s">
        <v>210</v>
      </c>
      <c r="D7" s="475">
        <v>1473376</v>
      </c>
      <c r="E7" s="475">
        <v>1559677</v>
      </c>
      <c r="F7" s="475">
        <v>1624526</v>
      </c>
      <c r="G7" s="475">
        <v>1681409</v>
      </c>
      <c r="H7" s="475">
        <v>1730122</v>
      </c>
      <c r="I7" s="475">
        <v>1767358</v>
      </c>
      <c r="J7" s="475">
        <v>1751017</v>
      </c>
      <c r="K7" s="475">
        <v>1727393</v>
      </c>
      <c r="L7" s="475">
        <v>1760221</v>
      </c>
      <c r="M7" s="475">
        <v>1764702</v>
      </c>
      <c r="N7" s="475">
        <v>1763389</v>
      </c>
      <c r="O7" s="475">
        <v>1722310</v>
      </c>
      <c r="P7" s="475">
        <v>1785186</v>
      </c>
      <c r="Q7" s="475">
        <v>1829530</v>
      </c>
      <c r="R7" s="475">
        <v>1813300</v>
      </c>
      <c r="S7" s="475">
        <v>1829003</v>
      </c>
      <c r="T7" s="475">
        <v>1840612</v>
      </c>
      <c r="U7" s="475">
        <v>1863124</v>
      </c>
      <c r="V7" s="475">
        <v>1831011</v>
      </c>
      <c r="W7" s="475">
        <v>1884520</v>
      </c>
      <c r="X7" s="475">
        <v>1907293</v>
      </c>
      <c r="Y7" s="475">
        <v>1931141</v>
      </c>
      <c r="Z7" s="475">
        <v>1952281</v>
      </c>
      <c r="AA7" s="476">
        <f>SUM(AA4:AA6)</f>
        <v>2003102</v>
      </c>
    </row>
    <row r="8" spans="1:27" ht="6" customHeight="1">
      <c r="A8" s="477"/>
      <c r="B8" s="477"/>
      <c r="C8" s="292"/>
      <c r="D8" s="478"/>
      <c r="E8" s="478"/>
      <c r="F8" s="478"/>
      <c r="G8" s="478"/>
      <c r="H8" s="478"/>
      <c r="I8" s="478"/>
      <c r="J8" s="478"/>
      <c r="K8" s="479"/>
      <c r="L8" s="479"/>
      <c r="M8" s="479"/>
      <c r="N8" s="480"/>
      <c r="O8" s="479"/>
      <c r="P8" s="479"/>
      <c r="Q8" s="479"/>
      <c r="R8" s="479"/>
      <c r="S8" s="479"/>
      <c r="T8" s="479"/>
      <c r="U8" s="479"/>
      <c r="V8" s="479"/>
      <c r="W8" s="481"/>
      <c r="X8" s="481"/>
      <c r="Y8" s="481"/>
      <c r="Z8" s="481"/>
      <c r="AA8" s="482"/>
    </row>
    <row r="9" spans="1:27">
      <c r="A9" s="232"/>
      <c r="B9" s="477"/>
      <c r="C9" s="483" t="s">
        <v>159</v>
      </c>
      <c r="D9" s="484">
        <v>661996</v>
      </c>
      <c r="E9" s="484">
        <v>683618</v>
      </c>
      <c r="F9" s="484">
        <v>654723</v>
      </c>
      <c r="G9" s="484">
        <v>641564</v>
      </c>
      <c r="H9" s="484">
        <v>630763</v>
      </c>
      <c r="I9" s="484">
        <v>606952</v>
      </c>
      <c r="J9" s="484">
        <v>578680</v>
      </c>
      <c r="K9" s="485">
        <v>218397</v>
      </c>
      <c r="L9" s="484">
        <v>207830</v>
      </c>
      <c r="M9" s="484">
        <v>536321</v>
      </c>
      <c r="N9" s="484">
        <v>531296</v>
      </c>
      <c r="O9" s="484">
        <v>530662</v>
      </c>
      <c r="P9" s="484">
        <v>534392</v>
      </c>
      <c r="Q9" s="484">
        <v>538077</v>
      </c>
      <c r="R9" s="484">
        <v>548210</v>
      </c>
      <c r="S9" s="484">
        <v>573341</v>
      </c>
      <c r="T9" s="484">
        <v>573727</v>
      </c>
      <c r="U9" s="484">
        <v>583367</v>
      </c>
      <c r="V9" s="484">
        <v>601117</v>
      </c>
      <c r="W9" s="484">
        <v>630542</v>
      </c>
      <c r="X9" s="484">
        <v>635743</v>
      </c>
      <c r="Y9" s="484">
        <v>648920</v>
      </c>
      <c r="Z9" s="484">
        <v>662460</v>
      </c>
      <c r="AA9" s="486">
        <f>AA14+AA18+AA22+AA26+AA30+AA35+AA37</f>
        <v>705516</v>
      </c>
    </row>
    <row r="10" spans="1:27">
      <c r="A10" s="477" t="s">
        <v>225</v>
      </c>
      <c r="B10" s="477"/>
      <c r="C10" s="471" t="s">
        <v>160</v>
      </c>
      <c r="D10" s="472">
        <v>244875</v>
      </c>
      <c r="E10" s="472">
        <v>306036</v>
      </c>
      <c r="F10" s="472">
        <v>313734</v>
      </c>
      <c r="G10" s="487">
        <v>323305</v>
      </c>
      <c r="H10" s="487">
        <v>365719</v>
      </c>
      <c r="I10" s="487">
        <v>379272</v>
      </c>
      <c r="J10" s="472">
        <v>376302</v>
      </c>
      <c r="K10" s="472">
        <v>227626</v>
      </c>
      <c r="L10" s="472">
        <v>225548</v>
      </c>
      <c r="M10" s="487">
        <v>394877</v>
      </c>
      <c r="N10" s="487">
        <v>390116</v>
      </c>
      <c r="O10" s="487">
        <v>386391</v>
      </c>
      <c r="P10" s="487">
        <v>392005</v>
      </c>
      <c r="Q10" s="487">
        <v>390651</v>
      </c>
      <c r="R10" s="487">
        <v>381870</v>
      </c>
      <c r="S10" s="487">
        <v>374351</v>
      </c>
      <c r="T10" s="487">
        <v>370829</v>
      </c>
      <c r="U10" s="487">
        <v>369370</v>
      </c>
      <c r="V10" s="487">
        <v>374488</v>
      </c>
      <c r="W10" s="487">
        <v>377771</v>
      </c>
      <c r="X10" s="487">
        <v>381762</v>
      </c>
      <c r="Y10" s="487">
        <v>386288</v>
      </c>
      <c r="Z10" s="487">
        <v>386241</v>
      </c>
      <c r="AA10" s="488">
        <f>AA15+AA19+AA23+AA27+AA31</f>
        <v>387598</v>
      </c>
    </row>
    <row r="11" spans="1:27">
      <c r="A11" s="477"/>
      <c r="B11" s="477"/>
      <c r="C11" s="471" t="s">
        <v>209</v>
      </c>
      <c r="D11" s="489"/>
      <c r="E11" s="489">
        <v>11262</v>
      </c>
      <c r="F11" s="489">
        <v>90576</v>
      </c>
      <c r="G11" s="490">
        <v>137060</v>
      </c>
      <c r="H11" s="490">
        <v>144886</v>
      </c>
      <c r="I11" s="490">
        <v>182494</v>
      </c>
      <c r="J11" s="489">
        <v>193150</v>
      </c>
      <c r="K11" s="472">
        <v>146636</v>
      </c>
      <c r="L11" s="472">
        <v>148606</v>
      </c>
      <c r="M11" s="487">
        <v>209090</v>
      </c>
      <c r="N11" s="487">
        <v>215559</v>
      </c>
      <c r="O11" s="487">
        <v>222180</v>
      </c>
      <c r="P11" s="487">
        <v>229408</v>
      </c>
      <c r="Q11" s="487">
        <v>241727</v>
      </c>
      <c r="R11" s="487">
        <v>239161</v>
      </c>
      <c r="S11" s="487">
        <v>243241</v>
      </c>
      <c r="T11" s="487">
        <v>247565</v>
      </c>
      <c r="U11" s="487">
        <v>250628</v>
      </c>
      <c r="V11" s="487">
        <v>247833</v>
      </c>
      <c r="W11" s="487">
        <v>250549</v>
      </c>
      <c r="X11" s="487">
        <v>253322</v>
      </c>
      <c r="Y11" s="487">
        <v>252764</v>
      </c>
      <c r="Z11" s="487">
        <v>253511</v>
      </c>
      <c r="AA11" s="488">
        <f>AA16+AA20+AA24+AA28+AA32</f>
        <v>254184</v>
      </c>
    </row>
    <row r="12" spans="1:27">
      <c r="A12" s="477"/>
      <c r="B12" s="477"/>
      <c r="C12" s="474" t="s">
        <v>210</v>
      </c>
      <c r="D12" s="475">
        <v>906871</v>
      </c>
      <c r="E12" s="475">
        <v>1000916</v>
      </c>
      <c r="F12" s="475">
        <v>1059033</v>
      </c>
      <c r="G12" s="475">
        <v>1101929</v>
      </c>
      <c r="H12" s="475">
        <v>1141368</v>
      </c>
      <c r="I12" s="475">
        <v>1168718</v>
      </c>
      <c r="J12" s="475">
        <v>1148132</v>
      </c>
      <c r="K12" s="475">
        <v>592659</v>
      </c>
      <c r="L12" s="475">
        <v>581984</v>
      </c>
      <c r="M12" s="475">
        <v>1140288</v>
      </c>
      <c r="N12" s="475">
        <v>1136971</v>
      </c>
      <c r="O12" s="475">
        <v>1139233</v>
      </c>
      <c r="P12" s="475">
        <v>1155805</v>
      </c>
      <c r="Q12" s="475">
        <v>1170455</v>
      </c>
      <c r="R12" s="475">
        <v>1169241</v>
      </c>
      <c r="S12" s="475">
        <v>1190933</v>
      </c>
      <c r="T12" s="475">
        <v>1192121</v>
      </c>
      <c r="U12" s="475">
        <v>1203365</v>
      </c>
      <c r="V12" s="475">
        <v>1223438</v>
      </c>
      <c r="W12" s="475">
        <v>1258862</v>
      </c>
      <c r="X12" s="475">
        <v>1270827</v>
      </c>
      <c r="Y12" s="475">
        <v>1287972</v>
      </c>
      <c r="Z12" s="475">
        <v>1302212</v>
      </c>
      <c r="AA12" s="476">
        <f>SUM(AA9:AA11)</f>
        <v>1347298</v>
      </c>
    </row>
    <row r="13" spans="1:27" ht="7.5" customHeight="1">
      <c r="A13" s="226"/>
      <c r="B13" s="491"/>
      <c r="C13" s="491"/>
      <c r="D13" s="492"/>
      <c r="E13" s="492"/>
      <c r="F13" s="492"/>
      <c r="G13" s="492"/>
      <c r="H13" s="492"/>
      <c r="I13" s="492"/>
      <c r="J13" s="492"/>
      <c r="K13" s="493"/>
      <c r="L13" s="478"/>
      <c r="M13" s="478"/>
      <c r="N13" s="469"/>
      <c r="O13" s="469"/>
      <c r="P13" s="469"/>
      <c r="Q13" s="469"/>
      <c r="R13" s="469"/>
      <c r="S13" s="472"/>
      <c r="T13" s="472"/>
      <c r="U13" s="472"/>
      <c r="V13" s="472"/>
      <c r="W13" s="481"/>
      <c r="X13" s="481"/>
      <c r="Y13" s="481"/>
      <c r="Z13" s="481"/>
      <c r="AA13" s="482"/>
    </row>
    <row r="14" spans="1:27">
      <c r="A14" s="729" t="s">
        <v>211</v>
      </c>
      <c r="B14" s="729"/>
      <c r="C14" s="483" t="s">
        <v>159</v>
      </c>
      <c r="D14" s="469">
        <v>154958</v>
      </c>
      <c r="E14" s="469">
        <v>173891</v>
      </c>
      <c r="F14" s="469">
        <v>178225</v>
      </c>
      <c r="G14" s="469">
        <v>181494</v>
      </c>
      <c r="H14" s="469">
        <v>244961</v>
      </c>
      <c r="I14" s="469">
        <v>238228</v>
      </c>
      <c r="J14" s="472">
        <v>225685</v>
      </c>
      <c r="K14" s="485">
        <v>218397</v>
      </c>
      <c r="L14" s="484">
        <v>207830</v>
      </c>
      <c r="M14" s="484">
        <v>204553</v>
      </c>
      <c r="N14" s="484">
        <v>202441</v>
      </c>
      <c r="O14" s="484">
        <v>200191</v>
      </c>
      <c r="P14" s="484">
        <v>197611</v>
      </c>
      <c r="Q14" s="484">
        <v>203109</v>
      </c>
      <c r="R14" s="484">
        <v>209653</v>
      </c>
      <c r="S14" s="484">
        <v>217693</v>
      </c>
      <c r="T14" s="484">
        <v>218956</v>
      </c>
      <c r="U14" s="484">
        <v>219992</v>
      </c>
      <c r="V14" s="484">
        <v>224676</v>
      </c>
      <c r="W14" s="494">
        <v>248185</v>
      </c>
      <c r="X14" s="494">
        <v>244216</v>
      </c>
      <c r="Y14" s="494">
        <v>235357</v>
      </c>
      <c r="Z14" s="494">
        <v>233816</v>
      </c>
      <c r="AA14" s="495">
        <v>244882</v>
      </c>
    </row>
    <row r="15" spans="1:27">
      <c r="A15" s="729"/>
      <c r="B15" s="729"/>
      <c r="C15" s="471" t="s">
        <v>160</v>
      </c>
      <c r="D15" s="472">
        <v>160361</v>
      </c>
      <c r="E15" s="472">
        <v>202891</v>
      </c>
      <c r="F15" s="472">
        <v>206666</v>
      </c>
      <c r="G15" s="487">
        <v>209733</v>
      </c>
      <c r="H15" s="487">
        <v>219325</v>
      </c>
      <c r="I15" s="487">
        <v>223000</v>
      </c>
      <c r="J15" s="472">
        <v>212427</v>
      </c>
      <c r="K15" s="472">
        <v>227626</v>
      </c>
      <c r="L15" s="472">
        <v>225548</v>
      </c>
      <c r="M15" s="487">
        <v>222365</v>
      </c>
      <c r="N15" s="487">
        <v>220755</v>
      </c>
      <c r="O15" s="487">
        <v>232236</v>
      </c>
      <c r="P15" s="487">
        <v>232081</v>
      </c>
      <c r="Q15" s="487">
        <v>231101</v>
      </c>
      <c r="R15" s="487">
        <v>222296</v>
      </c>
      <c r="S15" s="487">
        <v>215182</v>
      </c>
      <c r="T15" s="487">
        <v>211214</v>
      </c>
      <c r="U15" s="487">
        <v>208434</v>
      </c>
      <c r="V15" s="487">
        <v>210329</v>
      </c>
      <c r="W15" s="481">
        <v>210637</v>
      </c>
      <c r="X15" s="481">
        <v>213211</v>
      </c>
      <c r="Y15" s="481">
        <v>214116</v>
      </c>
      <c r="Z15" s="481">
        <v>210056</v>
      </c>
      <c r="AA15" s="482">
        <v>209193</v>
      </c>
    </row>
    <row r="16" spans="1:27">
      <c r="A16" s="729"/>
      <c r="B16" s="729"/>
      <c r="C16" s="471" t="s">
        <v>209</v>
      </c>
      <c r="D16" s="489"/>
      <c r="E16" s="489">
        <v>5829</v>
      </c>
      <c r="F16" s="489">
        <v>62821</v>
      </c>
      <c r="G16" s="490">
        <v>104185</v>
      </c>
      <c r="H16" s="490">
        <v>104744</v>
      </c>
      <c r="I16" s="490">
        <v>135867</v>
      </c>
      <c r="J16" s="489">
        <v>144114</v>
      </c>
      <c r="K16" s="472">
        <v>146636</v>
      </c>
      <c r="L16" s="472">
        <v>148606</v>
      </c>
      <c r="M16" s="487">
        <v>153165</v>
      </c>
      <c r="N16" s="487">
        <v>157480</v>
      </c>
      <c r="O16" s="487">
        <v>174208</v>
      </c>
      <c r="P16" s="487">
        <v>179022</v>
      </c>
      <c r="Q16" s="487">
        <v>188748</v>
      </c>
      <c r="R16" s="487">
        <v>183891</v>
      </c>
      <c r="S16" s="487">
        <v>185870</v>
      </c>
      <c r="T16" s="487">
        <v>187921</v>
      </c>
      <c r="U16" s="487">
        <v>188935</v>
      </c>
      <c r="V16" s="487">
        <v>185941</v>
      </c>
      <c r="W16" s="487">
        <v>187119</v>
      </c>
      <c r="X16" s="487">
        <v>189394</v>
      </c>
      <c r="Y16" s="487">
        <v>188577</v>
      </c>
      <c r="Z16" s="487">
        <v>188011</v>
      </c>
      <c r="AA16" s="496">
        <v>187431</v>
      </c>
    </row>
    <row r="17" spans="1:27">
      <c r="A17" s="729"/>
      <c r="B17" s="729"/>
      <c r="C17" s="474" t="s">
        <v>210</v>
      </c>
      <c r="D17" s="475">
        <v>315319</v>
      </c>
      <c r="E17" s="475">
        <v>382611</v>
      </c>
      <c r="F17" s="475">
        <v>447712</v>
      </c>
      <c r="G17" s="475">
        <v>495412</v>
      </c>
      <c r="H17" s="475">
        <v>569030</v>
      </c>
      <c r="I17" s="475">
        <v>597095</v>
      </c>
      <c r="J17" s="475">
        <v>582226</v>
      </c>
      <c r="K17" s="475">
        <v>592659</v>
      </c>
      <c r="L17" s="475">
        <v>581984</v>
      </c>
      <c r="M17" s="475">
        <v>580083</v>
      </c>
      <c r="N17" s="475">
        <v>580676</v>
      </c>
      <c r="O17" s="475">
        <v>606635</v>
      </c>
      <c r="P17" s="475">
        <v>608714</v>
      </c>
      <c r="Q17" s="475">
        <v>622958</v>
      </c>
      <c r="R17" s="475">
        <v>615840</v>
      </c>
      <c r="S17" s="475">
        <v>618745</v>
      </c>
      <c r="T17" s="475">
        <v>618091</v>
      </c>
      <c r="U17" s="475">
        <v>617361</v>
      </c>
      <c r="V17" s="475">
        <v>620946</v>
      </c>
      <c r="W17" s="475">
        <v>645941</v>
      </c>
      <c r="X17" s="475">
        <v>646821</v>
      </c>
      <c r="Y17" s="475">
        <v>638050</v>
      </c>
      <c r="Z17" s="475">
        <v>631883</v>
      </c>
      <c r="AA17" s="476">
        <f>SUM(AA14:AA16)</f>
        <v>641506</v>
      </c>
    </row>
    <row r="18" spans="1:27">
      <c r="A18" s="226"/>
      <c r="B18" s="471"/>
      <c r="C18" s="468" t="s">
        <v>159</v>
      </c>
      <c r="D18" s="472">
        <v>321738</v>
      </c>
      <c r="E18" s="472">
        <v>324125</v>
      </c>
      <c r="F18" s="472">
        <v>301844</v>
      </c>
      <c r="G18" s="487">
        <v>279383</v>
      </c>
      <c r="H18" s="487">
        <v>208994</v>
      </c>
      <c r="I18" s="487">
        <v>211063</v>
      </c>
      <c r="J18" s="472">
        <v>203854</v>
      </c>
      <c r="K18" s="472">
        <v>198452</v>
      </c>
      <c r="L18" s="472">
        <v>195153</v>
      </c>
      <c r="M18" s="487">
        <v>195296</v>
      </c>
      <c r="N18" s="487">
        <v>193127</v>
      </c>
      <c r="O18" s="487">
        <v>192142</v>
      </c>
      <c r="P18" s="487">
        <v>190457</v>
      </c>
      <c r="Q18" s="487">
        <v>196337</v>
      </c>
      <c r="R18" s="487">
        <v>199367</v>
      </c>
      <c r="S18" s="472">
        <v>206998</v>
      </c>
      <c r="T18" s="472">
        <v>206406</v>
      </c>
      <c r="U18" s="472">
        <v>212622</v>
      </c>
      <c r="V18" s="472">
        <v>219181</v>
      </c>
      <c r="W18" s="481">
        <v>237223</v>
      </c>
      <c r="X18" s="481">
        <v>245569</v>
      </c>
      <c r="Y18" s="481">
        <v>259981</v>
      </c>
      <c r="Z18" s="481">
        <v>270122</v>
      </c>
      <c r="AA18" s="482">
        <v>287792</v>
      </c>
    </row>
    <row r="19" spans="1:27">
      <c r="A19" s="471" t="s">
        <v>212</v>
      </c>
      <c r="B19" s="471"/>
      <c r="C19" s="471" t="s">
        <v>160</v>
      </c>
      <c r="D19" s="472">
        <v>72500</v>
      </c>
      <c r="E19" s="472">
        <v>87697</v>
      </c>
      <c r="F19" s="472">
        <v>90086</v>
      </c>
      <c r="G19" s="487">
        <v>94502</v>
      </c>
      <c r="H19" s="487">
        <v>120777</v>
      </c>
      <c r="I19" s="487">
        <v>126553</v>
      </c>
      <c r="J19" s="472">
        <v>129518</v>
      </c>
      <c r="K19" s="472">
        <v>135354</v>
      </c>
      <c r="L19" s="472">
        <v>136131</v>
      </c>
      <c r="M19" s="487">
        <v>135311</v>
      </c>
      <c r="N19" s="487">
        <v>132378</v>
      </c>
      <c r="O19" s="487">
        <v>116682</v>
      </c>
      <c r="P19" s="487">
        <v>120578</v>
      </c>
      <c r="Q19" s="487">
        <v>119907</v>
      </c>
      <c r="R19" s="487">
        <v>119294</v>
      </c>
      <c r="S19" s="472">
        <v>118689</v>
      </c>
      <c r="T19" s="472">
        <v>118579</v>
      </c>
      <c r="U19" s="472">
        <v>119051</v>
      </c>
      <c r="V19" s="472">
        <v>120582</v>
      </c>
      <c r="W19" s="481">
        <v>121920</v>
      </c>
      <c r="X19" s="481">
        <v>121965</v>
      </c>
      <c r="Y19" s="481">
        <v>124983</v>
      </c>
      <c r="Z19" s="481">
        <v>127492</v>
      </c>
      <c r="AA19" s="482">
        <v>129334</v>
      </c>
    </row>
    <row r="20" spans="1:27">
      <c r="A20" s="471"/>
      <c r="B20" s="471"/>
      <c r="C20" s="471" t="s">
        <v>209</v>
      </c>
      <c r="D20" s="472"/>
      <c r="E20" s="472">
        <v>4676</v>
      </c>
      <c r="F20" s="472">
        <v>21786</v>
      </c>
      <c r="G20" s="487">
        <v>25688</v>
      </c>
      <c r="H20" s="487">
        <v>33766</v>
      </c>
      <c r="I20" s="487">
        <v>37202</v>
      </c>
      <c r="J20" s="472">
        <v>38767</v>
      </c>
      <c r="K20" s="472">
        <v>40402</v>
      </c>
      <c r="L20" s="472">
        <v>41817</v>
      </c>
      <c r="M20" s="487">
        <v>44007</v>
      </c>
      <c r="N20" s="487">
        <v>45682</v>
      </c>
      <c r="O20" s="487">
        <v>34862</v>
      </c>
      <c r="P20" s="487">
        <v>36475</v>
      </c>
      <c r="Q20" s="487">
        <v>38293</v>
      </c>
      <c r="R20" s="487">
        <v>39862</v>
      </c>
      <c r="S20" s="472">
        <v>41379</v>
      </c>
      <c r="T20" s="472">
        <v>42956</v>
      </c>
      <c r="U20" s="472">
        <v>44390</v>
      </c>
      <c r="V20" s="472">
        <v>44398</v>
      </c>
      <c r="W20" s="481">
        <v>45337</v>
      </c>
      <c r="X20" s="481">
        <v>45259</v>
      </c>
      <c r="Y20" s="481">
        <v>45296</v>
      </c>
      <c r="Z20" s="481">
        <v>46284</v>
      </c>
      <c r="AA20" s="482">
        <v>47019</v>
      </c>
    </row>
    <row r="21" spans="1:27">
      <c r="A21" s="471"/>
      <c r="B21" s="471"/>
      <c r="C21" s="474" t="s">
        <v>210</v>
      </c>
      <c r="D21" s="475">
        <v>394238</v>
      </c>
      <c r="E21" s="475">
        <v>416498</v>
      </c>
      <c r="F21" s="475">
        <v>413716</v>
      </c>
      <c r="G21" s="475">
        <v>399573</v>
      </c>
      <c r="H21" s="475">
        <v>363537</v>
      </c>
      <c r="I21" s="475">
        <v>374818</v>
      </c>
      <c r="J21" s="475">
        <v>372139</v>
      </c>
      <c r="K21" s="475">
        <v>374208</v>
      </c>
      <c r="L21" s="475">
        <v>373101</v>
      </c>
      <c r="M21" s="475">
        <v>374614</v>
      </c>
      <c r="N21" s="475">
        <v>371187</v>
      </c>
      <c r="O21" s="475">
        <v>343686</v>
      </c>
      <c r="P21" s="475">
        <v>347510</v>
      </c>
      <c r="Q21" s="475">
        <v>354537</v>
      </c>
      <c r="R21" s="475">
        <v>358523</v>
      </c>
      <c r="S21" s="475">
        <v>367066</v>
      </c>
      <c r="T21" s="475">
        <v>367941</v>
      </c>
      <c r="U21" s="475">
        <v>376063</v>
      </c>
      <c r="V21" s="475">
        <v>384161</v>
      </c>
      <c r="W21" s="475">
        <v>404480</v>
      </c>
      <c r="X21" s="475">
        <v>412793</v>
      </c>
      <c r="Y21" s="475">
        <v>430260</v>
      </c>
      <c r="Z21" s="475">
        <v>443898</v>
      </c>
      <c r="AA21" s="476">
        <f>SUM(AA18:AA20)</f>
        <v>464145</v>
      </c>
    </row>
    <row r="22" spans="1:27">
      <c r="A22" s="497"/>
      <c r="B22" s="497"/>
      <c r="C22" s="468" t="s">
        <v>159</v>
      </c>
      <c r="D22" s="472">
        <v>121679</v>
      </c>
      <c r="E22" s="472">
        <v>122854</v>
      </c>
      <c r="F22" s="472">
        <v>112829</v>
      </c>
      <c r="G22" s="487">
        <v>122143</v>
      </c>
      <c r="H22" s="487">
        <v>113734</v>
      </c>
      <c r="I22" s="487">
        <v>105445</v>
      </c>
      <c r="J22" s="472">
        <v>102186</v>
      </c>
      <c r="K22" s="472">
        <v>96871</v>
      </c>
      <c r="L22" s="472">
        <v>94142</v>
      </c>
      <c r="M22" s="487">
        <v>87063</v>
      </c>
      <c r="N22" s="487">
        <v>89735</v>
      </c>
      <c r="O22" s="487">
        <v>93408</v>
      </c>
      <c r="P22" s="487">
        <v>97912</v>
      </c>
      <c r="Q22" s="487">
        <v>99692</v>
      </c>
      <c r="R22" s="487">
        <v>99943</v>
      </c>
      <c r="S22" s="487">
        <v>103433</v>
      </c>
      <c r="T22" s="487">
        <v>103058</v>
      </c>
      <c r="U22" s="487">
        <v>106621</v>
      </c>
      <c r="V22" s="487">
        <v>109036</v>
      </c>
      <c r="W22" s="481">
        <v>91807</v>
      </c>
      <c r="X22" s="481">
        <v>91107</v>
      </c>
      <c r="Y22" s="481">
        <v>90572</v>
      </c>
      <c r="Z22" s="481">
        <v>91924</v>
      </c>
      <c r="AA22" s="482">
        <v>95693</v>
      </c>
    </row>
    <row r="23" spans="1:27">
      <c r="A23" s="471" t="s">
        <v>213</v>
      </c>
      <c r="B23" s="497"/>
      <c r="C23" s="471" t="s">
        <v>160</v>
      </c>
      <c r="D23" s="472">
        <v>12014</v>
      </c>
      <c r="E23" s="472">
        <v>15448</v>
      </c>
      <c r="F23" s="472">
        <v>16982</v>
      </c>
      <c r="G23" s="487">
        <v>19070</v>
      </c>
      <c r="H23" s="487">
        <v>24790</v>
      </c>
      <c r="I23" s="487">
        <v>28346</v>
      </c>
      <c r="J23" s="472">
        <v>30677</v>
      </c>
      <c r="K23" s="472">
        <v>32195</v>
      </c>
      <c r="L23" s="472">
        <v>32972</v>
      </c>
      <c r="M23" s="487">
        <v>32664</v>
      </c>
      <c r="N23" s="487">
        <v>32806</v>
      </c>
      <c r="O23" s="487">
        <v>33342</v>
      </c>
      <c r="P23" s="487">
        <v>34598</v>
      </c>
      <c r="Q23" s="487">
        <v>34802</v>
      </c>
      <c r="R23" s="487">
        <v>35469</v>
      </c>
      <c r="S23" s="487">
        <v>35671</v>
      </c>
      <c r="T23" s="487">
        <v>36223</v>
      </c>
      <c r="U23" s="487">
        <v>37074</v>
      </c>
      <c r="V23" s="487">
        <v>38481</v>
      </c>
      <c r="W23" s="481">
        <v>39814</v>
      </c>
      <c r="X23" s="481">
        <v>40833</v>
      </c>
      <c r="Y23" s="481">
        <v>40831</v>
      </c>
      <c r="Z23" s="481">
        <v>41938</v>
      </c>
      <c r="AA23" s="482">
        <v>43074</v>
      </c>
    </row>
    <row r="24" spans="1:27">
      <c r="A24" s="497"/>
      <c r="B24" s="497"/>
      <c r="C24" s="471" t="s">
        <v>209</v>
      </c>
      <c r="D24" s="472"/>
      <c r="E24" s="472">
        <v>757</v>
      </c>
      <c r="F24" s="472">
        <v>5969</v>
      </c>
      <c r="G24" s="487">
        <v>7187</v>
      </c>
      <c r="H24" s="487">
        <v>6012</v>
      </c>
      <c r="I24" s="487">
        <v>8846</v>
      </c>
      <c r="J24" s="472">
        <v>9439</v>
      </c>
      <c r="K24" s="472">
        <v>9894</v>
      </c>
      <c r="L24" s="472">
        <v>10353</v>
      </c>
      <c r="M24" s="487">
        <v>10999</v>
      </c>
      <c r="N24" s="487">
        <v>11643</v>
      </c>
      <c r="O24" s="487">
        <v>12350</v>
      </c>
      <c r="P24" s="487">
        <v>12980</v>
      </c>
      <c r="Q24" s="487">
        <v>13725</v>
      </c>
      <c r="R24" s="487">
        <v>14439</v>
      </c>
      <c r="S24" s="487">
        <v>15037</v>
      </c>
      <c r="T24" s="487">
        <v>15731</v>
      </c>
      <c r="U24" s="487">
        <v>16332</v>
      </c>
      <c r="V24" s="487">
        <v>16582</v>
      </c>
      <c r="W24" s="481">
        <v>17156</v>
      </c>
      <c r="X24" s="481">
        <v>17672</v>
      </c>
      <c r="Y24" s="481">
        <v>17802</v>
      </c>
      <c r="Z24" s="481">
        <v>18179</v>
      </c>
      <c r="AA24" s="482">
        <v>18621</v>
      </c>
    </row>
    <row r="25" spans="1:27">
      <c r="A25" s="497"/>
      <c r="B25" s="497"/>
      <c r="C25" s="474" t="s">
        <v>210</v>
      </c>
      <c r="D25" s="475">
        <v>133693</v>
      </c>
      <c r="E25" s="475">
        <v>139059</v>
      </c>
      <c r="F25" s="475">
        <v>135780</v>
      </c>
      <c r="G25" s="475">
        <v>148400</v>
      </c>
      <c r="H25" s="475">
        <v>144536</v>
      </c>
      <c r="I25" s="475">
        <v>142637</v>
      </c>
      <c r="J25" s="475">
        <v>142302</v>
      </c>
      <c r="K25" s="475">
        <v>138960</v>
      </c>
      <c r="L25" s="475">
        <v>137467</v>
      </c>
      <c r="M25" s="475">
        <v>130726</v>
      </c>
      <c r="N25" s="475">
        <v>134184</v>
      </c>
      <c r="O25" s="475">
        <v>139100</v>
      </c>
      <c r="P25" s="475">
        <v>145490</v>
      </c>
      <c r="Q25" s="475">
        <v>148219</v>
      </c>
      <c r="R25" s="475">
        <v>149851</v>
      </c>
      <c r="S25" s="475">
        <v>154141</v>
      </c>
      <c r="T25" s="475">
        <v>155012</v>
      </c>
      <c r="U25" s="475">
        <v>160027</v>
      </c>
      <c r="V25" s="475">
        <v>164099</v>
      </c>
      <c r="W25" s="475">
        <v>148777</v>
      </c>
      <c r="X25" s="475">
        <v>149612</v>
      </c>
      <c r="Y25" s="475">
        <v>149205</v>
      </c>
      <c r="Z25" s="475">
        <v>152041</v>
      </c>
      <c r="AA25" s="476">
        <f>SUM(AA22:AA24)</f>
        <v>157388</v>
      </c>
    </row>
    <row r="26" spans="1:27">
      <c r="A26" s="497"/>
      <c r="B26" s="497"/>
      <c r="C26" s="468" t="s">
        <v>159</v>
      </c>
      <c r="D26" s="472">
        <v>5962</v>
      </c>
      <c r="E26" s="472">
        <v>6133</v>
      </c>
      <c r="F26" s="472">
        <v>6151</v>
      </c>
      <c r="G26" s="487">
        <v>6401</v>
      </c>
      <c r="H26" s="487">
        <v>6205</v>
      </c>
      <c r="I26" s="487">
        <v>5926</v>
      </c>
      <c r="J26" s="472">
        <v>4602</v>
      </c>
      <c r="K26" s="472">
        <v>4734</v>
      </c>
      <c r="L26" s="472">
        <v>4446</v>
      </c>
      <c r="M26" s="487">
        <v>4653</v>
      </c>
      <c r="N26" s="487">
        <v>4548</v>
      </c>
      <c r="O26" s="487">
        <v>4675</v>
      </c>
      <c r="P26" s="487">
        <v>4768</v>
      </c>
      <c r="Q26" s="487">
        <v>4624</v>
      </c>
      <c r="R26" s="487">
        <v>4624</v>
      </c>
      <c r="S26" s="472">
        <v>5092</v>
      </c>
      <c r="T26" s="472">
        <v>5080</v>
      </c>
      <c r="U26" s="472">
        <v>5015</v>
      </c>
      <c r="V26" s="472">
        <v>4736</v>
      </c>
      <c r="W26" s="481">
        <v>4882</v>
      </c>
      <c r="X26" s="481">
        <v>4604</v>
      </c>
      <c r="Y26" s="481">
        <v>4380</v>
      </c>
      <c r="Z26" s="481">
        <v>4003</v>
      </c>
      <c r="AA26" s="482">
        <v>4082</v>
      </c>
    </row>
    <row r="27" spans="1:27">
      <c r="A27" s="471" t="s">
        <v>214</v>
      </c>
      <c r="B27" s="497"/>
      <c r="C27" s="471" t="s">
        <v>160</v>
      </c>
      <c r="D27" s="472"/>
      <c r="E27" s="472"/>
      <c r="F27" s="472"/>
      <c r="G27" s="487"/>
      <c r="H27" s="487"/>
      <c r="I27" s="487"/>
      <c r="J27" s="472">
        <v>2255</v>
      </c>
      <c r="K27" s="472">
        <v>3719</v>
      </c>
      <c r="L27" s="472">
        <v>2925</v>
      </c>
      <c r="M27" s="487">
        <v>2992</v>
      </c>
      <c r="N27" s="487">
        <v>3036</v>
      </c>
      <c r="O27" s="487">
        <v>3089</v>
      </c>
      <c r="P27" s="487">
        <v>3277</v>
      </c>
      <c r="Q27" s="487">
        <v>3360</v>
      </c>
      <c r="R27" s="487">
        <v>3330</v>
      </c>
      <c r="S27" s="472">
        <v>3328</v>
      </c>
      <c r="T27" s="472">
        <v>3332</v>
      </c>
      <c r="U27" s="472">
        <v>3330</v>
      </c>
      <c r="V27" s="472">
        <v>3615</v>
      </c>
      <c r="W27" s="481">
        <v>3919</v>
      </c>
      <c r="X27" s="481">
        <v>4258</v>
      </c>
      <c r="Y27" s="481">
        <v>4601</v>
      </c>
      <c r="Z27" s="481">
        <v>4894</v>
      </c>
      <c r="AA27" s="482">
        <v>4097</v>
      </c>
    </row>
    <row r="28" spans="1:27">
      <c r="A28" s="497"/>
      <c r="B28" s="497"/>
      <c r="C28" s="471" t="s">
        <v>209</v>
      </c>
      <c r="D28" s="472"/>
      <c r="E28" s="472"/>
      <c r="F28" s="472"/>
      <c r="G28" s="487"/>
      <c r="H28" s="487"/>
      <c r="I28" s="487"/>
      <c r="J28" s="472">
        <v>197</v>
      </c>
      <c r="K28" s="472">
        <v>242</v>
      </c>
      <c r="L28" s="472">
        <v>261</v>
      </c>
      <c r="M28" s="487">
        <v>261</v>
      </c>
      <c r="N28" s="487">
        <v>273</v>
      </c>
      <c r="O28" s="487">
        <v>270</v>
      </c>
      <c r="P28" s="487">
        <v>276</v>
      </c>
      <c r="Q28" s="487">
        <v>301</v>
      </c>
      <c r="R28" s="487">
        <v>309</v>
      </c>
      <c r="S28" s="472">
        <v>333</v>
      </c>
      <c r="T28" s="472">
        <v>335</v>
      </c>
      <c r="U28" s="472">
        <v>349</v>
      </c>
      <c r="V28" s="472">
        <v>290</v>
      </c>
      <c r="W28" s="481">
        <v>315</v>
      </c>
      <c r="X28" s="481">
        <v>357</v>
      </c>
      <c r="Y28" s="481">
        <v>383</v>
      </c>
      <c r="Z28" s="481">
        <v>419</v>
      </c>
      <c r="AA28" s="482">
        <v>453</v>
      </c>
    </row>
    <row r="29" spans="1:27">
      <c r="A29" s="497"/>
      <c r="B29" s="497"/>
      <c r="C29" s="474" t="s">
        <v>210</v>
      </c>
      <c r="D29" s="475">
        <v>5962</v>
      </c>
      <c r="E29" s="475">
        <v>6133</v>
      </c>
      <c r="F29" s="475">
        <v>6151</v>
      </c>
      <c r="G29" s="475">
        <v>6401</v>
      </c>
      <c r="H29" s="475">
        <v>6205</v>
      </c>
      <c r="I29" s="475">
        <v>5926</v>
      </c>
      <c r="J29" s="475">
        <v>7054</v>
      </c>
      <c r="K29" s="475">
        <v>8695</v>
      </c>
      <c r="L29" s="475">
        <v>7632</v>
      </c>
      <c r="M29" s="475">
        <v>7906</v>
      </c>
      <c r="N29" s="475">
        <v>7857</v>
      </c>
      <c r="O29" s="475">
        <v>8034</v>
      </c>
      <c r="P29" s="475">
        <v>8321</v>
      </c>
      <c r="Q29" s="475">
        <v>8285</v>
      </c>
      <c r="R29" s="475">
        <v>8263</v>
      </c>
      <c r="S29" s="475">
        <v>8753</v>
      </c>
      <c r="T29" s="475">
        <v>8747</v>
      </c>
      <c r="U29" s="475">
        <v>8694</v>
      </c>
      <c r="V29" s="475">
        <v>8641</v>
      </c>
      <c r="W29" s="475">
        <v>9116</v>
      </c>
      <c r="X29" s="475">
        <v>9219</v>
      </c>
      <c r="Y29" s="475">
        <v>9364</v>
      </c>
      <c r="Z29" s="475">
        <v>9316</v>
      </c>
      <c r="AA29" s="476">
        <f>SUM(AA26:AA28)</f>
        <v>8632</v>
      </c>
    </row>
    <row r="30" spans="1:27">
      <c r="A30" s="226"/>
      <c r="B30" s="497"/>
      <c r="C30" s="468" t="s">
        <v>159</v>
      </c>
      <c r="D30" s="472"/>
      <c r="E30" s="472"/>
      <c r="F30" s="472"/>
      <c r="G30" s="487"/>
      <c r="H30" s="487">
        <v>5225</v>
      </c>
      <c r="I30" s="487">
        <v>5475</v>
      </c>
      <c r="J30" s="472">
        <v>6816</v>
      </c>
      <c r="K30" s="472">
        <v>6937</v>
      </c>
      <c r="L30" s="472">
        <v>7061</v>
      </c>
      <c r="M30" s="487">
        <v>7324</v>
      </c>
      <c r="N30" s="472">
        <v>5901</v>
      </c>
      <c r="O30" s="472">
        <v>5859</v>
      </c>
      <c r="P30" s="472">
        <v>7670</v>
      </c>
      <c r="Q30" s="472">
        <v>8066</v>
      </c>
      <c r="R30" s="472">
        <v>8066</v>
      </c>
      <c r="S30" s="472">
        <v>8384</v>
      </c>
      <c r="T30" s="472">
        <v>8384</v>
      </c>
      <c r="U30" s="472">
        <v>8384</v>
      </c>
      <c r="V30" s="472">
        <v>8384</v>
      </c>
      <c r="W30" s="481">
        <v>8384</v>
      </c>
      <c r="X30" s="481">
        <v>9167</v>
      </c>
      <c r="Y30" s="481">
        <v>15238</v>
      </c>
      <c r="Z30" s="481">
        <v>16519</v>
      </c>
      <c r="AA30" s="482">
        <v>17374</v>
      </c>
    </row>
    <row r="31" spans="1:27">
      <c r="A31" s="498" t="s">
        <v>215</v>
      </c>
      <c r="B31" s="497"/>
      <c r="C31" s="471" t="s">
        <v>160</v>
      </c>
      <c r="D31" s="472"/>
      <c r="E31" s="472"/>
      <c r="F31" s="472"/>
      <c r="G31" s="487"/>
      <c r="H31" s="487">
        <v>827</v>
      </c>
      <c r="I31" s="487">
        <v>1373</v>
      </c>
      <c r="J31" s="472">
        <v>1425</v>
      </c>
      <c r="K31" s="472">
        <v>1491</v>
      </c>
      <c r="L31" s="472">
        <v>1527</v>
      </c>
      <c r="M31" s="487">
        <v>1545</v>
      </c>
      <c r="N31" s="472">
        <v>1141</v>
      </c>
      <c r="O31" s="472">
        <v>1042</v>
      </c>
      <c r="P31" s="472">
        <v>1471</v>
      </c>
      <c r="Q31" s="472">
        <v>1481</v>
      </c>
      <c r="R31" s="472">
        <v>1481</v>
      </c>
      <c r="S31" s="472">
        <v>1481</v>
      </c>
      <c r="T31" s="472">
        <v>1481</v>
      </c>
      <c r="U31" s="472">
        <v>1481</v>
      </c>
      <c r="V31" s="472">
        <v>1481</v>
      </c>
      <c r="W31" s="481">
        <v>1481</v>
      </c>
      <c r="X31" s="481">
        <v>1495</v>
      </c>
      <c r="Y31" s="481">
        <v>1757</v>
      </c>
      <c r="Z31" s="481">
        <v>1861</v>
      </c>
      <c r="AA31" s="482">
        <v>1900</v>
      </c>
    </row>
    <row r="32" spans="1:27">
      <c r="A32" s="471"/>
      <c r="B32" s="497"/>
      <c r="C32" s="471" t="s">
        <v>209</v>
      </c>
      <c r="D32" s="472"/>
      <c r="E32" s="472"/>
      <c r="F32" s="472"/>
      <c r="G32" s="487"/>
      <c r="H32" s="487">
        <v>364</v>
      </c>
      <c r="I32" s="487">
        <v>579</v>
      </c>
      <c r="J32" s="472">
        <v>633</v>
      </c>
      <c r="K32" s="472">
        <v>599</v>
      </c>
      <c r="L32" s="472">
        <v>632</v>
      </c>
      <c r="M32" s="487">
        <v>658</v>
      </c>
      <c r="N32" s="472">
        <v>481</v>
      </c>
      <c r="O32" s="472">
        <v>490</v>
      </c>
      <c r="P32" s="472">
        <v>655</v>
      </c>
      <c r="Q32" s="472">
        <v>660</v>
      </c>
      <c r="R32" s="472">
        <v>660</v>
      </c>
      <c r="S32" s="472">
        <v>622</v>
      </c>
      <c r="T32" s="472">
        <v>622</v>
      </c>
      <c r="U32" s="472">
        <v>622</v>
      </c>
      <c r="V32" s="472">
        <v>622</v>
      </c>
      <c r="W32" s="481">
        <v>622</v>
      </c>
      <c r="X32" s="481">
        <v>640</v>
      </c>
      <c r="Y32" s="481">
        <v>706</v>
      </c>
      <c r="Z32" s="481">
        <v>618</v>
      </c>
      <c r="AA32" s="482">
        <v>660</v>
      </c>
    </row>
    <row r="33" spans="1:27">
      <c r="A33" s="471"/>
      <c r="B33" s="497"/>
      <c r="C33" s="474" t="s">
        <v>210</v>
      </c>
      <c r="D33" s="475"/>
      <c r="E33" s="475"/>
      <c r="F33" s="475"/>
      <c r="G33" s="499"/>
      <c r="H33" s="499">
        <v>6416</v>
      </c>
      <c r="I33" s="499">
        <v>7427</v>
      </c>
      <c r="J33" s="475">
        <v>8874</v>
      </c>
      <c r="K33" s="475">
        <v>9027</v>
      </c>
      <c r="L33" s="475">
        <v>9220</v>
      </c>
      <c r="M33" s="475">
        <v>9527</v>
      </c>
      <c r="N33" s="475">
        <v>7523</v>
      </c>
      <c r="O33" s="475">
        <v>7391</v>
      </c>
      <c r="P33" s="475">
        <v>9796</v>
      </c>
      <c r="Q33" s="475">
        <v>10207</v>
      </c>
      <c r="R33" s="475">
        <v>10207</v>
      </c>
      <c r="S33" s="475">
        <v>10487</v>
      </c>
      <c r="T33" s="475">
        <v>10487</v>
      </c>
      <c r="U33" s="475">
        <v>10487</v>
      </c>
      <c r="V33" s="475">
        <v>10487</v>
      </c>
      <c r="W33" s="475">
        <v>10487</v>
      </c>
      <c r="X33" s="475">
        <v>11302</v>
      </c>
      <c r="Y33" s="475">
        <v>17701</v>
      </c>
      <c r="Z33" s="475">
        <v>18998</v>
      </c>
      <c r="AA33" s="476">
        <f>SUM(AA30:AA32)</f>
        <v>19934</v>
      </c>
    </row>
    <row r="34" spans="1:27" ht="9" customHeight="1">
      <c r="A34" s="199"/>
      <c r="B34" s="500"/>
      <c r="C34" s="471"/>
      <c r="D34" s="489"/>
      <c r="E34" s="489"/>
      <c r="F34" s="489"/>
      <c r="G34" s="489"/>
      <c r="H34" s="489"/>
      <c r="I34" s="489"/>
      <c r="J34" s="472"/>
      <c r="K34" s="493"/>
      <c r="L34" s="278"/>
      <c r="M34" s="487"/>
      <c r="N34" s="487"/>
      <c r="O34" s="487"/>
      <c r="P34" s="487"/>
      <c r="Q34" s="487"/>
      <c r="R34" s="487"/>
      <c r="S34" s="472"/>
      <c r="T34" s="472"/>
      <c r="U34" s="472"/>
      <c r="V34" s="472"/>
      <c r="W34" s="501"/>
      <c r="X34" s="501"/>
      <c r="Y34" s="501"/>
      <c r="Z34" s="501"/>
      <c r="AA34" s="502"/>
    </row>
    <row r="35" spans="1:27">
      <c r="A35" s="471" t="s">
        <v>226</v>
      </c>
      <c r="B35" s="500"/>
      <c r="C35" s="503" t="s">
        <v>159</v>
      </c>
      <c r="D35" s="475">
        <v>37106</v>
      </c>
      <c r="E35" s="475">
        <v>36688</v>
      </c>
      <c r="F35" s="475">
        <v>36280</v>
      </c>
      <c r="G35" s="499">
        <v>36042</v>
      </c>
      <c r="H35" s="499">
        <v>35932</v>
      </c>
      <c r="I35" s="499">
        <v>32086</v>
      </c>
      <c r="J35" s="475">
        <v>30420</v>
      </c>
      <c r="K35" s="475">
        <v>30955</v>
      </c>
      <c r="L35" s="475">
        <v>28953</v>
      </c>
      <c r="M35" s="499">
        <v>29935</v>
      </c>
      <c r="N35" s="499">
        <v>28229</v>
      </c>
      <c r="O35" s="499">
        <v>27379</v>
      </c>
      <c r="P35" s="499">
        <v>28888</v>
      </c>
      <c r="Q35" s="499">
        <v>19057</v>
      </c>
      <c r="R35" s="499">
        <v>19277</v>
      </c>
      <c r="S35" s="499">
        <v>19243</v>
      </c>
      <c r="T35" s="499">
        <v>19129</v>
      </c>
      <c r="U35" s="499">
        <v>21782</v>
      </c>
      <c r="V35" s="499">
        <v>23036</v>
      </c>
      <c r="W35" s="499">
        <v>24511</v>
      </c>
      <c r="X35" s="499">
        <v>25398</v>
      </c>
      <c r="Y35" s="499">
        <v>26918</v>
      </c>
      <c r="Z35" s="499">
        <v>29867</v>
      </c>
      <c r="AA35" s="504">
        <v>39177</v>
      </c>
    </row>
    <row r="36" spans="1:27" ht="6" customHeight="1">
      <c r="A36" s="199"/>
      <c r="B36" s="500"/>
      <c r="C36" s="468"/>
      <c r="D36" s="480"/>
      <c r="E36" s="480"/>
      <c r="F36" s="480"/>
      <c r="G36" s="505"/>
      <c r="H36" s="505"/>
      <c r="I36" s="505"/>
      <c r="J36" s="472"/>
      <c r="K36" s="493"/>
      <c r="L36" s="278"/>
      <c r="M36" s="487"/>
      <c r="N36" s="487"/>
      <c r="O36" s="487"/>
      <c r="P36" s="487"/>
      <c r="Q36" s="487"/>
      <c r="R36" s="487"/>
      <c r="S36" s="472"/>
      <c r="T36" s="472"/>
      <c r="U36" s="472"/>
      <c r="V36" s="472"/>
      <c r="W36" s="472"/>
      <c r="X36" s="472"/>
      <c r="Y36" s="472"/>
      <c r="Z36" s="472"/>
      <c r="AA36" s="506"/>
    </row>
    <row r="37" spans="1:27">
      <c r="A37" s="507" t="s">
        <v>227</v>
      </c>
      <c r="B37" s="508"/>
      <c r="C37" s="503" t="s">
        <v>159</v>
      </c>
      <c r="D37" s="475">
        <v>20553</v>
      </c>
      <c r="E37" s="475">
        <v>19927</v>
      </c>
      <c r="F37" s="475">
        <v>19394</v>
      </c>
      <c r="G37" s="475">
        <v>16101</v>
      </c>
      <c r="H37" s="475">
        <v>15712</v>
      </c>
      <c r="I37" s="475">
        <v>8729</v>
      </c>
      <c r="J37" s="475">
        <v>5117</v>
      </c>
      <c r="K37" s="475">
        <v>7974</v>
      </c>
      <c r="L37" s="475">
        <v>7748</v>
      </c>
      <c r="M37" s="475">
        <v>7497</v>
      </c>
      <c r="N37" s="475">
        <v>7315</v>
      </c>
      <c r="O37" s="475">
        <v>7008</v>
      </c>
      <c r="P37" s="475">
        <v>7086</v>
      </c>
      <c r="Q37" s="475">
        <v>7192</v>
      </c>
      <c r="R37" s="475">
        <v>7280</v>
      </c>
      <c r="S37" s="475">
        <v>12498</v>
      </c>
      <c r="T37" s="475">
        <v>12714</v>
      </c>
      <c r="U37" s="475">
        <v>8951</v>
      </c>
      <c r="V37" s="475">
        <v>12068</v>
      </c>
      <c r="W37" s="475">
        <v>15550</v>
      </c>
      <c r="X37" s="475">
        <v>15682</v>
      </c>
      <c r="Y37" s="475">
        <v>16474</v>
      </c>
      <c r="Z37" s="475">
        <v>16209</v>
      </c>
      <c r="AA37" s="476">
        <v>16516</v>
      </c>
    </row>
    <row r="38" spans="1:27" ht="7.5" customHeight="1">
      <c r="A38" s="471"/>
      <c r="B38" s="497"/>
      <c r="C38" s="477"/>
      <c r="D38" s="479"/>
      <c r="E38" s="479"/>
      <c r="F38" s="479"/>
      <c r="G38" s="479"/>
      <c r="H38" s="479"/>
      <c r="I38" s="479"/>
      <c r="J38" s="479"/>
      <c r="K38" s="479"/>
      <c r="L38" s="479"/>
      <c r="M38" s="479"/>
      <c r="N38" s="479"/>
      <c r="O38" s="479"/>
      <c r="P38" s="479"/>
      <c r="Q38" s="479"/>
      <c r="R38" s="479"/>
      <c r="S38" s="479"/>
      <c r="T38" s="479"/>
      <c r="U38" s="479"/>
      <c r="V38" s="479"/>
      <c r="W38" s="501"/>
      <c r="X38" s="501"/>
      <c r="Y38" s="501"/>
      <c r="Z38" s="501"/>
      <c r="AA38" s="502"/>
    </row>
    <row r="39" spans="1:27">
      <c r="A39" s="509"/>
      <c r="B39" s="509"/>
      <c r="C39" s="483" t="s">
        <v>159</v>
      </c>
      <c r="D39" s="484">
        <v>330000</v>
      </c>
      <c r="E39" s="484">
        <v>314403</v>
      </c>
      <c r="F39" s="484">
        <v>314373</v>
      </c>
      <c r="G39" s="484">
        <v>322468</v>
      </c>
      <c r="H39" s="484">
        <v>320822</v>
      </c>
      <c r="I39" s="484">
        <v>322423</v>
      </c>
      <c r="J39" s="484">
        <v>321448</v>
      </c>
      <c r="K39" s="485">
        <v>277531</v>
      </c>
      <c r="L39" s="484">
        <v>321466</v>
      </c>
      <c r="M39" s="484">
        <v>328087</v>
      </c>
      <c r="N39" s="484">
        <v>325987</v>
      </c>
      <c r="O39" s="484">
        <v>279313</v>
      </c>
      <c r="P39" s="484">
        <v>321844</v>
      </c>
      <c r="Q39" s="484">
        <v>346014</v>
      </c>
      <c r="R39" s="484">
        <v>325237</v>
      </c>
      <c r="S39" s="485">
        <v>314238</v>
      </c>
      <c r="T39" s="485">
        <v>322606</v>
      </c>
      <c r="U39" s="485">
        <v>330050</v>
      </c>
      <c r="V39" s="485">
        <v>325683</v>
      </c>
      <c r="W39" s="485">
        <v>340063</v>
      </c>
      <c r="X39" s="485">
        <v>348587</v>
      </c>
      <c r="Y39" s="485">
        <v>350741</v>
      </c>
      <c r="Z39" s="485">
        <v>354761</v>
      </c>
      <c r="AA39" s="510">
        <v>359218</v>
      </c>
    </row>
    <row r="40" spans="1:27">
      <c r="A40" s="477" t="s">
        <v>228</v>
      </c>
      <c r="B40" s="509"/>
      <c r="C40" s="471" t="s">
        <v>160</v>
      </c>
      <c r="D40" s="469">
        <v>103755</v>
      </c>
      <c r="E40" s="469">
        <v>105883</v>
      </c>
      <c r="F40" s="469">
        <v>108780</v>
      </c>
      <c r="G40" s="469">
        <v>110128</v>
      </c>
      <c r="H40" s="469">
        <v>117509</v>
      </c>
      <c r="I40" s="469">
        <v>122512</v>
      </c>
      <c r="J40" s="469">
        <v>124801</v>
      </c>
      <c r="K40" s="472">
        <v>119013</v>
      </c>
      <c r="L40" s="469">
        <v>128252</v>
      </c>
      <c r="M40" s="469">
        <v>128630</v>
      </c>
      <c r="N40" s="469">
        <v>129387</v>
      </c>
      <c r="O40" s="469">
        <v>129801</v>
      </c>
      <c r="P40" s="469">
        <v>130394</v>
      </c>
      <c r="Q40" s="469">
        <v>130941</v>
      </c>
      <c r="R40" s="469">
        <v>132808</v>
      </c>
      <c r="S40" s="472">
        <v>134109</v>
      </c>
      <c r="T40" s="472">
        <v>135088</v>
      </c>
      <c r="U40" s="472">
        <v>138009</v>
      </c>
      <c r="V40" s="472">
        <v>136415</v>
      </c>
      <c r="W40" s="472">
        <v>138864</v>
      </c>
      <c r="X40" s="472">
        <v>140945</v>
      </c>
      <c r="Y40" s="472">
        <v>144096</v>
      </c>
      <c r="Z40" s="472">
        <v>146653</v>
      </c>
      <c r="AA40" s="506">
        <v>148291</v>
      </c>
    </row>
    <row r="41" spans="1:27">
      <c r="A41" s="509"/>
      <c r="B41" s="509"/>
      <c r="C41" s="511" t="s">
        <v>209</v>
      </c>
      <c r="D41" s="512">
        <v>132750</v>
      </c>
      <c r="E41" s="512">
        <v>138475</v>
      </c>
      <c r="F41" s="512">
        <v>142340</v>
      </c>
      <c r="G41" s="512">
        <v>146884</v>
      </c>
      <c r="H41" s="512">
        <v>150423</v>
      </c>
      <c r="I41" s="512">
        <v>153705</v>
      </c>
      <c r="J41" s="512">
        <v>156636</v>
      </c>
      <c r="K41" s="489">
        <v>168371</v>
      </c>
      <c r="L41" s="512">
        <v>164398</v>
      </c>
      <c r="M41" s="512">
        <v>167697</v>
      </c>
      <c r="N41" s="512">
        <v>171044</v>
      </c>
      <c r="O41" s="512">
        <v>173963</v>
      </c>
      <c r="P41" s="512">
        <v>177143</v>
      </c>
      <c r="Q41" s="512">
        <v>182120</v>
      </c>
      <c r="R41" s="512">
        <v>186014</v>
      </c>
      <c r="S41" s="489">
        <v>189723</v>
      </c>
      <c r="T41" s="489">
        <v>190797</v>
      </c>
      <c r="U41" s="489">
        <v>191700</v>
      </c>
      <c r="V41" s="489">
        <v>145475</v>
      </c>
      <c r="W41" s="489">
        <v>146731</v>
      </c>
      <c r="X41" s="489">
        <v>146934</v>
      </c>
      <c r="Y41" s="489">
        <v>148332</v>
      </c>
      <c r="Z41" s="489">
        <v>148655</v>
      </c>
      <c r="AA41" s="513">
        <v>148295</v>
      </c>
    </row>
    <row r="42" spans="1:27">
      <c r="A42" s="509"/>
      <c r="B42" s="509"/>
      <c r="C42" s="474" t="s">
        <v>210</v>
      </c>
      <c r="D42" s="475">
        <v>566505</v>
      </c>
      <c r="E42" s="475">
        <v>558761</v>
      </c>
      <c r="F42" s="475">
        <v>565493</v>
      </c>
      <c r="G42" s="475">
        <v>579480</v>
      </c>
      <c r="H42" s="475">
        <v>588754</v>
      </c>
      <c r="I42" s="475">
        <v>598640</v>
      </c>
      <c r="J42" s="475">
        <v>602885</v>
      </c>
      <c r="K42" s="475">
        <v>564915</v>
      </c>
      <c r="L42" s="475">
        <v>614116</v>
      </c>
      <c r="M42" s="475">
        <v>624414</v>
      </c>
      <c r="N42" s="475">
        <v>626418</v>
      </c>
      <c r="O42" s="475">
        <v>583077</v>
      </c>
      <c r="P42" s="475">
        <v>629381</v>
      </c>
      <c r="Q42" s="475">
        <v>659075</v>
      </c>
      <c r="R42" s="475">
        <v>644059</v>
      </c>
      <c r="S42" s="475">
        <v>638070</v>
      </c>
      <c r="T42" s="475">
        <v>648491</v>
      </c>
      <c r="U42" s="475">
        <v>659759</v>
      </c>
      <c r="V42" s="475">
        <v>607573</v>
      </c>
      <c r="W42" s="475">
        <v>625658</v>
      </c>
      <c r="X42" s="475">
        <v>636466</v>
      </c>
      <c r="Y42" s="475">
        <v>643169</v>
      </c>
      <c r="Z42" s="475">
        <v>650069</v>
      </c>
      <c r="AA42" s="476">
        <f>SUM(AA39:AA41)</f>
        <v>655804</v>
      </c>
    </row>
    <row r="43" spans="1:27">
      <c r="A43" s="226"/>
      <c r="B43" s="514"/>
      <c r="C43" s="468" t="s">
        <v>159</v>
      </c>
      <c r="D43" s="479"/>
      <c r="E43" s="479"/>
      <c r="F43" s="479"/>
      <c r="G43" s="479"/>
      <c r="H43" s="479"/>
      <c r="I43" s="479"/>
      <c r="J43" s="479"/>
      <c r="K43" s="472">
        <v>18787</v>
      </c>
      <c r="L43" s="469">
        <v>21343</v>
      </c>
      <c r="M43" s="469">
        <v>19458</v>
      </c>
      <c r="N43" s="469">
        <v>19889</v>
      </c>
      <c r="O43" s="469">
        <v>20501</v>
      </c>
      <c r="P43" s="469">
        <v>22906</v>
      </c>
      <c r="Q43" s="469">
        <v>23369</v>
      </c>
      <c r="R43" s="469">
        <v>26441</v>
      </c>
      <c r="S43" s="472">
        <v>27238</v>
      </c>
      <c r="T43" s="472">
        <v>24521</v>
      </c>
      <c r="U43" s="472">
        <v>24608</v>
      </c>
      <c r="V43" s="472">
        <v>26724</v>
      </c>
      <c r="W43" s="472">
        <v>25289</v>
      </c>
      <c r="X43" s="472">
        <v>25088</v>
      </c>
      <c r="Y43" s="472">
        <v>25828</v>
      </c>
      <c r="Z43" s="472">
        <v>25384</v>
      </c>
      <c r="AA43" s="506">
        <v>24902</v>
      </c>
    </row>
    <row r="44" spans="1:27">
      <c r="A44" s="477" t="s">
        <v>229</v>
      </c>
      <c r="B44" s="514"/>
      <c r="C44" s="471" t="s">
        <v>160</v>
      </c>
      <c r="D44" s="469"/>
      <c r="E44" s="469"/>
      <c r="F44" s="469"/>
      <c r="G44" s="469"/>
      <c r="H44" s="469">
        <v>17402</v>
      </c>
      <c r="I44" s="469">
        <v>17623</v>
      </c>
      <c r="J44" s="469">
        <v>19155</v>
      </c>
      <c r="K44" s="472">
        <v>4798</v>
      </c>
      <c r="L44" s="469">
        <v>8685</v>
      </c>
      <c r="M44" s="469">
        <v>7424</v>
      </c>
      <c r="N44" s="469">
        <v>6978</v>
      </c>
      <c r="O44" s="469">
        <v>6887</v>
      </c>
      <c r="P44" s="469">
        <v>7256</v>
      </c>
      <c r="Q44" s="469">
        <v>7262</v>
      </c>
      <c r="R44" s="469">
        <v>6573</v>
      </c>
      <c r="S44" s="472">
        <v>7271</v>
      </c>
      <c r="T44" s="472">
        <v>7261</v>
      </c>
      <c r="U44" s="472">
        <v>7246</v>
      </c>
      <c r="V44" s="472">
        <v>6655</v>
      </c>
      <c r="W44" s="472">
        <v>6645</v>
      </c>
      <c r="X44" s="472">
        <v>6888</v>
      </c>
      <c r="Y44" s="472">
        <v>7083</v>
      </c>
      <c r="Z44" s="472">
        <v>7380</v>
      </c>
      <c r="AA44" s="506">
        <v>7448</v>
      </c>
    </row>
    <row r="45" spans="1:27">
      <c r="A45" s="515"/>
      <c r="B45" s="514"/>
      <c r="C45" s="471" t="s">
        <v>209</v>
      </c>
      <c r="D45" s="469"/>
      <c r="E45" s="469"/>
      <c r="F45" s="469"/>
      <c r="G45" s="469"/>
      <c r="H45" s="469">
        <v>4221</v>
      </c>
      <c r="I45" s="469">
        <v>4078</v>
      </c>
      <c r="J45" s="469">
        <v>4771</v>
      </c>
      <c r="K45" s="472">
        <v>2339</v>
      </c>
      <c r="L45" s="469">
        <v>3776</v>
      </c>
      <c r="M45" s="469">
        <v>3485</v>
      </c>
      <c r="N45" s="469">
        <v>3431</v>
      </c>
      <c r="O45" s="469">
        <v>3459</v>
      </c>
      <c r="P45" s="469">
        <v>3585</v>
      </c>
      <c r="Q45" s="469">
        <v>3618</v>
      </c>
      <c r="R45" s="469">
        <v>3334</v>
      </c>
      <c r="S45" s="472">
        <v>3723</v>
      </c>
      <c r="T45" s="472">
        <v>3733</v>
      </c>
      <c r="U45" s="472">
        <v>3732</v>
      </c>
      <c r="V45" s="472">
        <v>3072</v>
      </c>
      <c r="W45" s="472">
        <v>3084</v>
      </c>
      <c r="X45" s="472">
        <v>2540</v>
      </c>
      <c r="Y45" s="472">
        <v>2657</v>
      </c>
      <c r="Z45" s="472">
        <v>2615</v>
      </c>
      <c r="AA45" s="506">
        <v>2668</v>
      </c>
    </row>
    <row r="46" spans="1:27">
      <c r="A46" s="509"/>
      <c r="B46" s="516"/>
      <c r="C46" s="474" t="s">
        <v>210</v>
      </c>
      <c r="D46" s="475"/>
      <c r="E46" s="475"/>
      <c r="F46" s="475"/>
      <c r="G46" s="475"/>
      <c r="H46" s="475">
        <v>23615</v>
      </c>
      <c r="I46" s="475">
        <v>23788</v>
      </c>
      <c r="J46" s="475">
        <v>26118</v>
      </c>
      <c r="K46" s="475">
        <v>25924</v>
      </c>
      <c r="L46" s="475">
        <v>33804</v>
      </c>
      <c r="M46" s="475">
        <v>30367</v>
      </c>
      <c r="N46" s="475">
        <v>30298</v>
      </c>
      <c r="O46" s="475">
        <v>30847</v>
      </c>
      <c r="P46" s="475">
        <v>33747</v>
      </c>
      <c r="Q46" s="475">
        <v>34249</v>
      </c>
      <c r="R46" s="475">
        <v>36348</v>
      </c>
      <c r="S46" s="475">
        <v>38232</v>
      </c>
      <c r="T46" s="475">
        <v>35515</v>
      </c>
      <c r="U46" s="475">
        <v>35586</v>
      </c>
      <c r="V46" s="475">
        <v>36451</v>
      </c>
      <c r="W46" s="475">
        <v>35018</v>
      </c>
      <c r="X46" s="475">
        <v>34516</v>
      </c>
      <c r="Y46" s="475">
        <v>35568</v>
      </c>
      <c r="Z46" s="475">
        <v>35379</v>
      </c>
      <c r="AA46" s="476">
        <f>SUM(AA43:AA45)</f>
        <v>35018</v>
      </c>
    </row>
    <row r="47" spans="1:27">
      <c r="A47" s="477"/>
      <c r="B47" s="477"/>
      <c r="C47" s="468" t="s">
        <v>159</v>
      </c>
      <c r="D47" s="478"/>
      <c r="E47" s="469"/>
      <c r="F47" s="469"/>
      <c r="G47" s="469"/>
      <c r="H47" s="469">
        <v>64561</v>
      </c>
      <c r="I47" s="469">
        <v>69646</v>
      </c>
      <c r="J47" s="469">
        <v>74504</v>
      </c>
      <c r="K47" s="472">
        <v>76207</v>
      </c>
      <c r="L47" s="469">
        <v>79677</v>
      </c>
      <c r="M47" s="469">
        <v>80932</v>
      </c>
      <c r="N47" s="469">
        <v>80899</v>
      </c>
      <c r="O47" s="469">
        <v>81716</v>
      </c>
      <c r="P47" s="469">
        <v>82057</v>
      </c>
      <c r="Q47" s="469">
        <v>83117</v>
      </c>
      <c r="R47" s="469">
        <v>87515</v>
      </c>
      <c r="S47" s="472">
        <v>91025</v>
      </c>
      <c r="T47" s="472">
        <v>93341</v>
      </c>
      <c r="U47" s="472">
        <v>93607</v>
      </c>
      <c r="V47" s="472">
        <v>114337</v>
      </c>
      <c r="W47" s="472">
        <v>115739</v>
      </c>
      <c r="X47" s="472">
        <v>121760</v>
      </c>
      <c r="Y47" s="472">
        <v>104971</v>
      </c>
      <c r="Z47" s="472">
        <v>109475</v>
      </c>
      <c r="AA47" s="506">
        <v>110458</v>
      </c>
    </row>
    <row r="48" spans="1:27">
      <c r="A48" s="477" t="s">
        <v>230</v>
      </c>
      <c r="B48" s="477"/>
      <c r="C48" s="471" t="s">
        <v>160</v>
      </c>
      <c r="D48" s="478"/>
      <c r="E48" s="469"/>
      <c r="F48" s="469"/>
      <c r="G48" s="469"/>
      <c r="H48" s="469">
        <v>14831</v>
      </c>
      <c r="I48" s="469">
        <v>11518</v>
      </c>
      <c r="J48" s="469">
        <v>13680</v>
      </c>
      <c r="K48" s="472">
        <v>15225</v>
      </c>
      <c r="L48" s="469">
        <v>15353</v>
      </c>
      <c r="M48" s="469">
        <v>15417</v>
      </c>
      <c r="N48" s="469">
        <v>15421</v>
      </c>
      <c r="O48" s="469">
        <v>15458</v>
      </c>
      <c r="P48" s="469">
        <v>16212</v>
      </c>
      <c r="Q48" s="469">
        <v>16513</v>
      </c>
      <c r="R48" s="469">
        <v>16373</v>
      </c>
      <c r="S48" s="472">
        <v>16317</v>
      </c>
      <c r="T48" s="472">
        <v>16385</v>
      </c>
      <c r="U48" s="472">
        <v>16070</v>
      </c>
      <c r="V48" s="472">
        <v>19578</v>
      </c>
      <c r="W48" s="472">
        <v>20442</v>
      </c>
      <c r="X48" s="472">
        <v>19347</v>
      </c>
      <c r="Y48" s="472">
        <v>19828</v>
      </c>
      <c r="Z48" s="472">
        <v>21164</v>
      </c>
      <c r="AA48" s="506">
        <v>22053</v>
      </c>
    </row>
    <row r="49" spans="1:27">
      <c r="A49" s="477"/>
      <c r="B49" s="477"/>
      <c r="C49" s="471" t="s">
        <v>209</v>
      </c>
      <c r="D49" s="478"/>
      <c r="E49" s="469"/>
      <c r="F49" s="469"/>
      <c r="G49" s="469"/>
      <c r="H49" s="469">
        <v>3122</v>
      </c>
      <c r="I49" s="469">
        <v>3917</v>
      </c>
      <c r="J49" s="469">
        <v>4373</v>
      </c>
      <c r="K49" s="472">
        <v>4775</v>
      </c>
      <c r="L49" s="469">
        <v>5052</v>
      </c>
      <c r="M49" s="469">
        <v>5288</v>
      </c>
      <c r="N49" s="469">
        <v>5453</v>
      </c>
      <c r="O49" s="469">
        <v>5635</v>
      </c>
      <c r="P49" s="469">
        <v>5563</v>
      </c>
      <c r="Q49" s="469">
        <v>5765</v>
      </c>
      <c r="R49" s="469">
        <v>5824</v>
      </c>
      <c r="S49" s="472">
        <v>6163</v>
      </c>
      <c r="T49" s="472">
        <v>6281</v>
      </c>
      <c r="U49" s="472">
        <v>6587</v>
      </c>
      <c r="V49" s="472">
        <v>5907</v>
      </c>
      <c r="W49" s="472">
        <v>5762</v>
      </c>
      <c r="X49" s="472">
        <v>5810</v>
      </c>
      <c r="Y49" s="472">
        <v>5921</v>
      </c>
      <c r="Z49" s="472">
        <v>6105</v>
      </c>
      <c r="AA49" s="506">
        <v>6328</v>
      </c>
    </row>
    <row r="50" spans="1:27">
      <c r="A50" s="477"/>
      <c r="B50" s="477"/>
      <c r="C50" s="474" t="s">
        <v>210</v>
      </c>
      <c r="D50" s="517"/>
      <c r="E50" s="517"/>
      <c r="F50" s="517"/>
      <c r="G50" s="517"/>
      <c r="H50" s="517">
        <v>82514</v>
      </c>
      <c r="I50" s="517">
        <v>85081</v>
      </c>
      <c r="J50" s="475">
        <v>92557</v>
      </c>
      <c r="K50" s="475">
        <v>96207</v>
      </c>
      <c r="L50" s="475">
        <v>100082</v>
      </c>
      <c r="M50" s="475">
        <v>101637</v>
      </c>
      <c r="N50" s="475">
        <v>101773</v>
      </c>
      <c r="O50" s="475">
        <v>102809</v>
      </c>
      <c r="P50" s="475">
        <v>103832</v>
      </c>
      <c r="Q50" s="475">
        <v>105395</v>
      </c>
      <c r="R50" s="475">
        <v>109712</v>
      </c>
      <c r="S50" s="475">
        <v>113505</v>
      </c>
      <c r="T50" s="475">
        <v>116007</v>
      </c>
      <c r="U50" s="475">
        <v>116264</v>
      </c>
      <c r="V50" s="475">
        <v>139822</v>
      </c>
      <c r="W50" s="475">
        <v>141943</v>
      </c>
      <c r="X50" s="475">
        <v>146917</v>
      </c>
      <c r="Y50" s="475">
        <v>130720</v>
      </c>
      <c r="Z50" s="475">
        <v>136744</v>
      </c>
      <c r="AA50" s="476">
        <f>SUM(AA47:AA49)</f>
        <v>138839</v>
      </c>
    </row>
    <row r="51" spans="1:27">
      <c r="A51" s="509"/>
      <c r="B51" s="509"/>
      <c r="C51" s="468" t="s">
        <v>159</v>
      </c>
      <c r="D51" s="472"/>
      <c r="E51" s="472"/>
      <c r="F51" s="472"/>
      <c r="G51" s="472"/>
      <c r="H51" s="472">
        <v>1033548</v>
      </c>
      <c r="I51" s="472">
        <v>1016644</v>
      </c>
      <c r="J51" s="472">
        <v>993787</v>
      </c>
      <c r="K51" s="472">
        <v>936845</v>
      </c>
      <c r="L51" s="472">
        <v>967819</v>
      </c>
      <c r="M51" s="472">
        <v>964798</v>
      </c>
      <c r="N51" s="472">
        <v>958071</v>
      </c>
      <c r="O51" s="472">
        <v>912192</v>
      </c>
      <c r="P51" s="472">
        <v>961199</v>
      </c>
      <c r="Q51" s="472">
        <v>990577</v>
      </c>
      <c r="R51" s="472">
        <v>987403</v>
      </c>
      <c r="S51" s="472">
        <v>1005842</v>
      </c>
      <c r="T51" s="472">
        <v>1014195</v>
      </c>
      <c r="U51" s="472">
        <v>1031632</v>
      </c>
      <c r="V51" s="472">
        <v>1067861</v>
      </c>
      <c r="W51" s="472">
        <v>1111633</v>
      </c>
      <c r="X51" s="472">
        <v>1131178</v>
      </c>
      <c r="Y51" s="472">
        <v>1130460</v>
      </c>
      <c r="Z51" s="472">
        <v>1152080</v>
      </c>
      <c r="AA51" s="473">
        <f>AA4+AA43+AA47</f>
        <v>1200094</v>
      </c>
    </row>
    <row r="52" spans="1:27">
      <c r="A52" s="477" t="s">
        <v>216</v>
      </c>
      <c r="B52" s="509"/>
      <c r="C52" s="471" t="s">
        <v>160</v>
      </c>
      <c r="D52" s="472"/>
      <c r="E52" s="472"/>
      <c r="F52" s="472"/>
      <c r="G52" s="472"/>
      <c r="H52" s="472">
        <v>502280</v>
      </c>
      <c r="I52" s="472">
        <v>517380</v>
      </c>
      <c r="J52" s="472">
        <v>519554</v>
      </c>
      <c r="K52" s="472">
        <v>539421</v>
      </c>
      <c r="L52" s="472">
        <v>551393</v>
      </c>
      <c r="M52" s="472">
        <v>546348</v>
      </c>
      <c r="N52" s="472">
        <v>541902</v>
      </c>
      <c r="O52" s="472">
        <v>538537</v>
      </c>
      <c r="P52" s="472">
        <v>545867</v>
      </c>
      <c r="Q52" s="472">
        <v>545367</v>
      </c>
      <c r="R52" s="472">
        <v>537624</v>
      </c>
      <c r="S52" s="472">
        <v>532048</v>
      </c>
      <c r="T52" s="472">
        <v>529563</v>
      </c>
      <c r="U52" s="472">
        <v>530695</v>
      </c>
      <c r="V52" s="472">
        <v>537136</v>
      </c>
      <c r="W52" s="472">
        <v>543722</v>
      </c>
      <c r="X52" s="472">
        <v>548942</v>
      </c>
      <c r="Y52" s="472">
        <v>557295</v>
      </c>
      <c r="Z52" s="472">
        <v>561438</v>
      </c>
      <c r="AA52" s="473">
        <f>AA5+AA44+AA48</f>
        <v>565390</v>
      </c>
    </row>
    <row r="53" spans="1:27">
      <c r="A53" s="518"/>
      <c r="B53" s="518"/>
      <c r="C53" s="471" t="s">
        <v>209</v>
      </c>
      <c r="D53" s="472"/>
      <c r="E53" s="472"/>
      <c r="F53" s="472"/>
      <c r="G53" s="472"/>
      <c r="H53" s="472">
        <v>300423</v>
      </c>
      <c r="I53" s="472">
        <v>342203</v>
      </c>
      <c r="J53" s="472">
        <v>356351</v>
      </c>
      <c r="K53" s="472">
        <v>373258</v>
      </c>
      <c r="L53" s="472">
        <v>374895</v>
      </c>
      <c r="M53" s="472">
        <v>385560</v>
      </c>
      <c r="N53" s="472">
        <v>395487</v>
      </c>
      <c r="O53" s="472">
        <v>405237</v>
      </c>
      <c r="P53" s="472">
        <v>415699</v>
      </c>
      <c r="Q53" s="472">
        <v>433230</v>
      </c>
      <c r="R53" s="472">
        <v>434333</v>
      </c>
      <c r="S53" s="472">
        <v>442850</v>
      </c>
      <c r="T53" s="472">
        <v>448376</v>
      </c>
      <c r="U53" s="472">
        <v>452647</v>
      </c>
      <c r="V53" s="472">
        <v>402287</v>
      </c>
      <c r="W53" s="472">
        <v>406126</v>
      </c>
      <c r="X53" s="472">
        <v>408606</v>
      </c>
      <c r="Y53" s="472">
        <v>409674</v>
      </c>
      <c r="Z53" s="472">
        <v>410886</v>
      </c>
      <c r="AA53" s="473">
        <f>AA6+AA45+AA49</f>
        <v>411475</v>
      </c>
    </row>
    <row r="54" spans="1:27">
      <c r="A54" s="519"/>
      <c r="B54" s="463"/>
      <c r="C54" s="474" t="s">
        <v>210</v>
      </c>
      <c r="D54" s="475"/>
      <c r="E54" s="475"/>
      <c r="F54" s="475"/>
      <c r="G54" s="475"/>
      <c r="H54" s="475">
        <v>1836251</v>
      </c>
      <c r="I54" s="475">
        <v>1876227</v>
      </c>
      <c r="J54" s="475">
        <v>1869692</v>
      </c>
      <c r="K54" s="475">
        <v>1849524</v>
      </c>
      <c r="L54" s="520">
        <v>1894107</v>
      </c>
      <c r="M54" s="520">
        <v>1896706</v>
      </c>
      <c r="N54" s="520">
        <v>1895460</v>
      </c>
      <c r="O54" s="521">
        <v>1855966</v>
      </c>
      <c r="P54" s="521">
        <v>1922765</v>
      </c>
      <c r="Q54" s="521">
        <v>1969174</v>
      </c>
      <c r="R54" s="521">
        <v>1959360</v>
      </c>
      <c r="S54" s="521">
        <v>1980740</v>
      </c>
      <c r="T54" s="521">
        <v>1992134</v>
      </c>
      <c r="U54" s="521">
        <v>2014974</v>
      </c>
      <c r="V54" s="521">
        <v>2007284</v>
      </c>
      <c r="W54" s="521">
        <v>2061481</v>
      </c>
      <c r="X54" s="521">
        <v>2088726</v>
      </c>
      <c r="Y54" s="521">
        <v>2097429</v>
      </c>
      <c r="Z54" s="521">
        <v>2124404</v>
      </c>
      <c r="AA54" s="522">
        <f>SUM(AA51:AA53)</f>
        <v>2176959</v>
      </c>
    </row>
    <row r="55" spans="1:27">
      <c r="A55" s="523"/>
      <c r="B55" s="523"/>
      <c r="C55" s="468" t="s">
        <v>159</v>
      </c>
      <c r="D55" s="478"/>
      <c r="E55" s="469"/>
      <c r="F55" s="469"/>
      <c r="G55" s="469"/>
      <c r="H55" s="472">
        <v>108445</v>
      </c>
      <c r="I55" s="472">
        <v>112275</v>
      </c>
      <c r="J55" s="472">
        <v>108326</v>
      </c>
      <c r="K55" s="472">
        <v>103717</v>
      </c>
      <c r="L55" s="472">
        <v>103647</v>
      </c>
      <c r="M55" s="472">
        <v>112913</v>
      </c>
      <c r="N55" s="472">
        <v>117521</v>
      </c>
      <c r="O55" s="472">
        <v>116433</v>
      </c>
      <c r="P55" s="472">
        <v>115246</v>
      </c>
      <c r="Q55" s="472">
        <v>114535</v>
      </c>
      <c r="R55" s="472">
        <v>119017</v>
      </c>
      <c r="S55" s="472">
        <v>119654</v>
      </c>
      <c r="T55" s="472">
        <v>119654</v>
      </c>
      <c r="U55" s="472">
        <v>116208</v>
      </c>
      <c r="V55" s="472">
        <v>100101</v>
      </c>
      <c r="W55" s="472">
        <v>103298</v>
      </c>
      <c r="X55" s="472">
        <v>98532</v>
      </c>
      <c r="Y55" s="472">
        <v>105249</v>
      </c>
      <c r="Z55" s="472">
        <v>109948</v>
      </c>
      <c r="AA55" s="506">
        <v>93946</v>
      </c>
    </row>
    <row r="56" spans="1:27">
      <c r="A56" s="477" t="s">
        <v>231</v>
      </c>
      <c r="B56" s="523"/>
      <c r="C56" s="471" t="s">
        <v>160</v>
      </c>
      <c r="D56" s="478"/>
      <c r="E56" s="469"/>
      <c r="F56" s="469"/>
      <c r="G56" s="469"/>
      <c r="H56" s="472">
        <v>35301</v>
      </c>
      <c r="I56" s="472">
        <v>35167</v>
      </c>
      <c r="J56" s="472">
        <v>35497</v>
      </c>
      <c r="K56" s="472">
        <v>34151</v>
      </c>
      <c r="L56" s="472">
        <v>34332</v>
      </c>
      <c r="M56" s="472">
        <v>37241</v>
      </c>
      <c r="N56" s="472">
        <v>35388</v>
      </c>
      <c r="O56" s="472">
        <v>40060</v>
      </c>
      <c r="P56" s="472">
        <v>40266</v>
      </c>
      <c r="Q56" s="472">
        <v>40407</v>
      </c>
      <c r="R56" s="472">
        <v>44459</v>
      </c>
      <c r="S56" s="472">
        <v>44477</v>
      </c>
      <c r="T56" s="472">
        <v>44477</v>
      </c>
      <c r="U56" s="472">
        <v>46661</v>
      </c>
      <c r="V56" s="472">
        <v>30566</v>
      </c>
      <c r="W56" s="472">
        <v>33134</v>
      </c>
      <c r="X56" s="472">
        <v>34864</v>
      </c>
      <c r="Y56" s="472">
        <v>36956</v>
      </c>
      <c r="Z56" s="472">
        <v>39362</v>
      </c>
      <c r="AA56" s="506">
        <v>39741</v>
      </c>
    </row>
    <row r="57" spans="1:27">
      <c r="A57" s="523"/>
      <c r="B57" s="523"/>
      <c r="C57" s="471" t="s">
        <v>209</v>
      </c>
      <c r="D57" s="478"/>
      <c r="E57" s="469"/>
      <c r="F57" s="469"/>
      <c r="G57" s="469"/>
      <c r="H57" s="472">
        <v>33994</v>
      </c>
      <c r="I57" s="472">
        <v>21972</v>
      </c>
      <c r="J57" s="472">
        <v>20915</v>
      </c>
      <c r="K57" s="472">
        <v>20800</v>
      </c>
      <c r="L57" s="472">
        <v>22223</v>
      </c>
      <c r="M57" s="472">
        <v>22491</v>
      </c>
      <c r="N57" s="472">
        <v>22803</v>
      </c>
      <c r="O57" s="472">
        <v>24315</v>
      </c>
      <c r="P57" s="472">
        <v>24293</v>
      </c>
      <c r="Q57" s="472">
        <v>26706</v>
      </c>
      <c r="R57" s="472">
        <v>28483</v>
      </c>
      <c r="S57" s="472">
        <v>29491</v>
      </c>
      <c r="T57" s="472">
        <v>29491</v>
      </c>
      <c r="U57" s="472">
        <v>30878</v>
      </c>
      <c r="V57" s="472">
        <v>9523</v>
      </c>
      <c r="W57" s="472">
        <v>10256</v>
      </c>
      <c r="X57" s="472">
        <v>8582</v>
      </c>
      <c r="Y57" s="472">
        <v>8846</v>
      </c>
      <c r="Z57" s="472">
        <v>9293</v>
      </c>
      <c r="AA57" s="506">
        <v>9395</v>
      </c>
    </row>
    <row r="58" spans="1:27">
      <c r="A58" s="519"/>
      <c r="B58" s="519"/>
      <c r="C58" s="474" t="s">
        <v>210</v>
      </c>
      <c r="D58" s="475"/>
      <c r="E58" s="475"/>
      <c r="F58" s="475"/>
      <c r="G58" s="475"/>
      <c r="H58" s="475">
        <v>177740</v>
      </c>
      <c r="I58" s="475">
        <v>169414</v>
      </c>
      <c r="J58" s="475">
        <v>164738</v>
      </c>
      <c r="K58" s="475">
        <v>158668</v>
      </c>
      <c r="L58" s="475">
        <v>160202</v>
      </c>
      <c r="M58" s="475">
        <v>172645</v>
      </c>
      <c r="N58" s="475">
        <v>175712</v>
      </c>
      <c r="O58" s="475">
        <v>180808</v>
      </c>
      <c r="P58" s="475">
        <v>179805</v>
      </c>
      <c r="Q58" s="475">
        <v>181648</v>
      </c>
      <c r="R58" s="475">
        <v>191959</v>
      </c>
      <c r="S58" s="475">
        <v>193622</v>
      </c>
      <c r="T58" s="475">
        <v>193622</v>
      </c>
      <c r="U58" s="475">
        <v>193747</v>
      </c>
      <c r="V58" s="475">
        <v>140190</v>
      </c>
      <c r="W58" s="475">
        <v>146688</v>
      </c>
      <c r="X58" s="475">
        <v>141978</v>
      </c>
      <c r="Y58" s="475">
        <v>151051</v>
      </c>
      <c r="Z58" s="475">
        <v>158603</v>
      </c>
      <c r="AA58" s="476">
        <f>SUM(AA55:AA57)</f>
        <v>143082</v>
      </c>
    </row>
    <row r="59" spans="1:27" ht="13.5" customHeight="1">
      <c r="A59" s="201" t="s">
        <v>217</v>
      </c>
      <c r="B59" s="524"/>
      <c r="C59" s="524"/>
      <c r="D59" s="456"/>
      <c r="E59" s="456"/>
      <c r="F59" s="456"/>
      <c r="G59" s="456"/>
      <c r="H59" s="456"/>
      <c r="I59" s="456"/>
      <c r="J59" s="456"/>
      <c r="K59" s="456"/>
      <c r="L59" s="525"/>
      <c r="M59" s="526"/>
      <c r="N59" s="527"/>
      <c r="O59" s="525"/>
      <c r="P59" s="525"/>
      <c r="Q59" s="526"/>
      <c r="R59" s="526"/>
      <c r="S59" s="526"/>
      <c r="T59" s="526"/>
      <c r="U59" s="526"/>
      <c r="V59" s="459"/>
      <c r="W59" s="459"/>
      <c r="X59" s="459"/>
      <c r="Y59" s="459"/>
      <c r="Z59" s="459"/>
    </row>
    <row r="60" spans="1:27" ht="13.5" customHeight="1">
      <c r="A60" s="528" t="s">
        <v>232</v>
      </c>
      <c r="B60" s="265"/>
      <c r="C60" s="265"/>
      <c r="D60" s="529"/>
      <c r="E60" s="529"/>
      <c r="F60" s="529"/>
      <c r="G60" s="529"/>
      <c r="H60" s="529"/>
      <c r="I60" s="529"/>
      <c r="J60" s="529"/>
      <c r="K60" s="529"/>
      <c r="L60" s="530"/>
      <c r="M60" s="530"/>
      <c r="N60" s="531"/>
      <c r="O60" s="530"/>
      <c r="P60" s="530"/>
      <c r="Q60" s="532"/>
      <c r="R60" s="532"/>
      <c r="S60" s="532"/>
      <c r="T60" s="532"/>
      <c r="U60" s="532"/>
      <c r="V60" s="532"/>
      <c r="W60" s="532"/>
      <c r="X60" s="532"/>
      <c r="Y60" s="532"/>
      <c r="Z60" s="532"/>
    </row>
    <row r="61" spans="1:27" ht="11.65" customHeight="1">
      <c r="A61" s="199" t="s">
        <v>233</v>
      </c>
      <c r="B61" s="533"/>
      <c r="C61" s="533"/>
      <c r="D61" s="456"/>
      <c r="E61" s="456"/>
      <c r="F61" s="456"/>
      <c r="G61" s="456"/>
      <c r="H61" s="456"/>
      <c r="I61" s="456"/>
      <c r="J61" s="456"/>
      <c r="K61" s="534"/>
      <c r="L61" s="535"/>
      <c r="M61" s="535"/>
      <c r="N61" s="534"/>
      <c r="O61" s="535"/>
      <c r="P61" s="535"/>
      <c r="Q61" s="526"/>
      <c r="R61" s="526"/>
      <c r="S61" s="526"/>
      <c r="T61" s="526"/>
      <c r="U61" s="526"/>
      <c r="V61" s="526"/>
      <c r="W61" s="526"/>
      <c r="X61" s="526"/>
      <c r="Y61" s="526"/>
      <c r="Z61" s="526"/>
    </row>
    <row r="62" spans="1:27" ht="11.65" customHeight="1">
      <c r="A62" s="199" t="s">
        <v>234</v>
      </c>
      <c r="B62" s="226"/>
      <c r="C62" s="226"/>
      <c r="D62" s="456"/>
      <c r="E62" s="456"/>
      <c r="F62" s="456"/>
      <c r="G62" s="456"/>
      <c r="H62" s="456"/>
      <c r="I62" s="456"/>
      <c r="J62" s="456"/>
      <c r="K62" s="456"/>
      <c r="L62" s="526"/>
      <c r="M62" s="526"/>
      <c r="N62" s="456"/>
      <c r="O62" s="526"/>
      <c r="P62" s="526"/>
      <c r="Q62" s="526"/>
      <c r="R62" s="526"/>
      <c r="S62" s="526"/>
      <c r="T62" s="526"/>
      <c r="U62" s="526"/>
      <c r="V62" s="526"/>
      <c r="W62" s="526"/>
      <c r="X62" s="526"/>
      <c r="Y62" s="526"/>
      <c r="Z62" s="526"/>
    </row>
    <row r="63" spans="1:27" ht="11.65" customHeight="1">
      <c r="A63" s="199" t="s">
        <v>235</v>
      </c>
      <c r="B63" s="536"/>
      <c r="C63" s="536"/>
      <c r="D63" s="526"/>
      <c r="E63" s="526"/>
      <c r="F63" s="526"/>
      <c r="G63" s="526"/>
      <c r="H63" s="526"/>
      <c r="I63" s="526"/>
      <c r="J63" s="526"/>
      <c r="K63" s="456"/>
      <c r="L63" s="526"/>
      <c r="M63" s="526"/>
      <c r="N63" s="456"/>
      <c r="O63" s="526"/>
      <c r="P63" s="526"/>
      <c r="Q63" s="526"/>
      <c r="R63" s="526"/>
      <c r="S63" s="526"/>
      <c r="T63" s="526"/>
      <c r="U63" s="526"/>
      <c r="V63" s="526"/>
      <c r="W63" s="526"/>
      <c r="X63" s="526"/>
      <c r="Y63" s="526"/>
      <c r="Z63" s="526"/>
    </row>
    <row r="64" spans="1:27" ht="11.65" customHeight="1">
      <c r="A64" s="199" t="s">
        <v>236</v>
      </c>
      <c r="B64" s="536"/>
      <c r="C64" s="536"/>
      <c r="D64" s="526"/>
      <c r="E64" s="526"/>
      <c r="F64" s="526"/>
      <c r="G64" s="526"/>
      <c r="H64" s="526"/>
      <c r="I64" s="526"/>
      <c r="J64" s="526"/>
      <c r="K64" s="456"/>
      <c r="L64" s="526"/>
      <c r="M64" s="526"/>
      <c r="N64" s="456"/>
      <c r="O64" s="526"/>
      <c r="P64" s="526"/>
      <c r="Q64" s="526"/>
      <c r="R64" s="526"/>
      <c r="S64" s="526"/>
      <c r="T64" s="526"/>
      <c r="U64" s="526"/>
      <c r="V64" s="526"/>
      <c r="W64" s="526"/>
      <c r="X64" s="526"/>
      <c r="Y64" s="526"/>
      <c r="Z64" s="526"/>
    </row>
    <row r="65" spans="1:26" ht="11.65" customHeight="1">
      <c r="A65" s="199" t="s">
        <v>237</v>
      </c>
      <c r="B65" s="536"/>
      <c r="C65" s="536"/>
      <c r="D65" s="526"/>
      <c r="E65" s="526"/>
      <c r="F65" s="526"/>
      <c r="G65" s="526"/>
      <c r="H65" s="526"/>
      <c r="I65" s="526"/>
      <c r="J65" s="526"/>
      <c r="K65" s="456"/>
      <c r="L65" s="526"/>
      <c r="M65" s="526"/>
      <c r="N65" s="456"/>
      <c r="O65" s="526"/>
      <c r="P65" s="526"/>
      <c r="Q65" s="526"/>
      <c r="R65" s="526"/>
      <c r="S65" s="526"/>
      <c r="T65" s="526"/>
      <c r="U65" s="526"/>
      <c r="V65" s="526"/>
      <c r="W65" s="526"/>
      <c r="X65" s="526"/>
      <c r="Y65" s="526"/>
      <c r="Z65" s="526"/>
    </row>
    <row r="66" spans="1:26" ht="11.65" customHeight="1">
      <c r="A66" s="199" t="s">
        <v>238</v>
      </c>
      <c r="B66" s="536"/>
      <c r="C66" s="536"/>
      <c r="D66" s="526"/>
      <c r="E66" s="526"/>
      <c r="F66" s="526"/>
      <c r="G66" s="526"/>
      <c r="H66" s="526"/>
      <c r="I66" s="526"/>
      <c r="J66" s="526"/>
      <c r="K66" s="456"/>
      <c r="L66" s="526"/>
      <c r="M66" s="526"/>
      <c r="N66" s="456"/>
      <c r="O66" s="526"/>
      <c r="P66" s="526"/>
      <c r="Q66" s="526"/>
      <c r="R66" s="526"/>
      <c r="S66" s="526"/>
      <c r="T66" s="526"/>
      <c r="U66" s="526"/>
      <c r="V66" s="526"/>
      <c r="W66" s="526"/>
      <c r="X66" s="526"/>
      <c r="Y66" s="526"/>
      <c r="Z66" s="526"/>
    </row>
    <row r="67" spans="1:26" ht="11.65" customHeight="1">
      <c r="A67" s="537" t="s">
        <v>239</v>
      </c>
      <c r="B67" s="536"/>
      <c r="C67" s="536"/>
      <c r="D67" s="526"/>
      <c r="E67" s="526"/>
      <c r="F67" s="526"/>
      <c r="G67" s="526"/>
      <c r="H67" s="526"/>
      <c r="I67" s="526"/>
      <c r="J67" s="526"/>
      <c r="K67" s="456"/>
      <c r="L67" s="526"/>
      <c r="M67" s="526"/>
      <c r="N67" s="456"/>
      <c r="O67" s="526"/>
      <c r="P67" s="526"/>
      <c r="Q67" s="526"/>
      <c r="R67" s="526"/>
      <c r="S67" s="526"/>
      <c r="T67" s="526"/>
      <c r="U67" s="526"/>
      <c r="V67" s="526"/>
      <c r="W67" s="526"/>
      <c r="X67" s="526"/>
      <c r="Y67" s="526"/>
      <c r="Z67" s="526"/>
    </row>
    <row r="68" spans="1:26" ht="11.65" customHeight="1">
      <c r="A68" s="537" t="s">
        <v>240</v>
      </c>
      <c r="B68" s="536"/>
      <c r="C68" s="536"/>
      <c r="D68" s="526"/>
      <c r="E68" s="526"/>
      <c r="F68" s="526"/>
      <c r="G68" s="526"/>
      <c r="H68" s="526"/>
      <c r="I68" s="526"/>
      <c r="J68" s="526"/>
      <c r="K68" s="456"/>
      <c r="L68" s="526"/>
      <c r="M68" s="526"/>
      <c r="N68" s="456"/>
      <c r="O68" s="526"/>
      <c r="P68" s="526"/>
      <c r="Q68" s="526"/>
      <c r="R68" s="526"/>
      <c r="S68" s="526"/>
      <c r="T68" s="526"/>
      <c r="U68" s="526"/>
      <c r="V68" s="526"/>
      <c r="W68" s="526"/>
      <c r="X68" s="526"/>
      <c r="Y68" s="526"/>
      <c r="Z68" s="526"/>
    </row>
    <row r="69" spans="1:26" ht="11.65" customHeight="1">
      <c r="A69" s="528" t="s">
        <v>241</v>
      </c>
      <c r="B69" s="536"/>
      <c r="C69" s="536"/>
      <c r="D69" s="526"/>
      <c r="E69" s="526"/>
      <c r="F69" s="526"/>
      <c r="G69" s="526"/>
      <c r="H69" s="526"/>
      <c r="I69" s="526"/>
      <c r="J69" s="526"/>
      <c r="K69" s="456"/>
      <c r="L69" s="526"/>
      <c r="M69" s="526"/>
      <c r="N69" s="456"/>
      <c r="O69" s="526"/>
      <c r="P69" s="526"/>
      <c r="Q69" s="526"/>
      <c r="R69" s="526"/>
      <c r="S69" s="526"/>
      <c r="T69" s="526"/>
      <c r="U69" s="526"/>
      <c r="V69" s="526"/>
      <c r="W69" s="526"/>
      <c r="X69" s="526"/>
      <c r="Y69" s="526"/>
      <c r="Z69" s="526"/>
    </row>
    <row r="70" spans="1:26" ht="13.5" customHeight="1">
      <c r="A70" s="199" t="s">
        <v>242</v>
      </c>
      <c r="B70" s="536"/>
      <c r="C70" s="536"/>
      <c r="D70" s="526"/>
      <c r="E70" s="526"/>
      <c r="F70" s="526"/>
      <c r="G70" s="526"/>
      <c r="H70" s="526"/>
      <c r="I70" s="526"/>
      <c r="J70" s="526"/>
      <c r="K70" s="456"/>
      <c r="L70" s="526"/>
      <c r="M70" s="526"/>
      <c r="N70" s="456"/>
      <c r="O70" s="526"/>
      <c r="P70" s="526"/>
      <c r="Q70" s="526"/>
      <c r="R70" s="526"/>
      <c r="S70" s="526"/>
      <c r="T70" s="526"/>
      <c r="U70" s="526"/>
      <c r="V70" s="526"/>
      <c r="W70" s="526"/>
      <c r="X70" s="526"/>
      <c r="Y70" s="526"/>
      <c r="Z70" s="526"/>
    </row>
    <row r="71" spans="1:26" ht="13.5" customHeight="1">
      <c r="A71" s="199" t="s">
        <v>243</v>
      </c>
      <c r="B71" s="536"/>
      <c r="C71" s="536"/>
      <c r="D71" s="526"/>
      <c r="E71" s="526"/>
      <c r="F71" s="526"/>
      <c r="G71" s="526"/>
      <c r="H71" s="526"/>
      <c r="I71" s="526"/>
      <c r="J71" s="526"/>
      <c r="K71" s="456"/>
      <c r="L71" s="526"/>
      <c r="M71" s="526"/>
      <c r="N71" s="456"/>
      <c r="O71" s="526"/>
      <c r="P71" s="526"/>
      <c r="Q71" s="526"/>
      <c r="R71" s="526"/>
      <c r="S71" s="526"/>
      <c r="T71" s="526"/>
      <c r="U71" s="526"/>
      <c r="V71" s="526"/>
      <c r="W71" s="526"/>
      <c r="X71" s="526"/>
      <c r="Y71" s="526"/>
      <c r="Z71" s="526"/>
    </row>
    <row r="72" spans="1:26">
      <c r="A72" s="528" t="s">
        <v>244</v>
      </c>
      <c r="B72" s="536"/>
      <c r="C72" s="536"/>
      <c r="D72" s="526"/>
      <c r="E72" s="526"/>
      <c r="F72" s="526"/>
      <c r="G72" s="526"/>
      <c r="H72" s="526"/>
      <c r="I72" s="526"/>
      <c r="J72" s="526"/>
      <c r="K72" s="456"/>
      <c r="L72" s="526"/>
      <c r="M72" s="526"/>
      <c r="N72" s="456"/>
      <c r="O72" s="526"/>
      <c r="P72" s="526"/>
      <c r="Q72" s="526"/>
      <c r="R72" s="526"/>
      <c r="S72" s="526"/>
      <c r="T72" s="526"/>
      <c r="U72" s="526"/>
      <c r="V72" s="526"/>
      <c r="W72" s="526"/>
      <c r="X72" s="526"/>
      <c r="Y72" s="526"/>
      <c r="Z72" s="526"/>
    </row>
    <row r="73" spans="1:26" ht="13.5" customHeight="1">
      <c r="A73" s="528" t="s">
        <v>245</v>
      </c>
      <c r="B73" s="536"/>
      <c r="C73" s="536"/>
      <c r="D73" s="526"/>
      <c r="E73" s="526"/>
      <c r="F73" s="526"/>
      <c r="G73" s="526"/>
      <c r="H73" s="526"/>
      <c r="I73" s="526"/>
      <c r="J73" s="526"/>
      <c r="K73" s="456"/>
      <c r="L73" s="526"/>
      <c r="M73" s="526"/>
      <c r="N73" s="456"/>
      <c r="O73" s="526"/>
      <c r="P73" s="526"/>
      <c r="Q73" s="526"/>
      <c r="R73" s="526"/>
      <c r="S73" s="526"/>
      <c r="T73" s="526"/>
      <c r="U73" s="526"/>
      <c r="V73" s="526"/>
      <c r="W73" s="526"/>
      <c r="X73" s="526"/>
      <c r="Y73" s="526"/>
      <c r="Z73" s="526"/>
    </row>
    <row r="74" spans="1:26" ht="13.5" customHeight="1">
      <c r="A74" s="199" t="s">
        <v>246</v>
      </c>
      <c r="B74" s="536"/>
      <c r="C74" s="536"/>
      <c r="D74" s="526"/>
      <c r="E74" s="526"/>
      <c r="F74" s="526"/>
      <c r="G74" s="526"/>
      <c r="H74" s="526"/>
      <c r="I74" s="526"/>
      <c r="J74" s="526"/>
      <c r="K74" s="456"/>
      <c r="L74" s="526"/>
      <c r="M74" s="526"/>
      <c r="N74" s="456"/>
      <c r="O74" s="526"/>
      <c r="P74" s="526"/>
      <c r="Q74" s="526"/>
      <c r="R74" s="526"/>
      <c r="S74" s="526"/>
      <c r="T74" s="526"/>
      <c r="U74" s="526"/>
      <c r="V74" s="526"/>
      <c r="W74" s="526"/>
      <c r="X74" s="526"/>
      <c r="Y74" s="526"/>
      <c r="Z74" s="526"/>
    </row>
    <row r="75" spans="1:26" ht="13.5" customHeight="1">
      <c r="A75" s="199" t="s">
        <v>247</v>
      </c>
      <c r="B75" s="536"/>
      <c r="C75" s="536"/>
      <c r="D75" s="526"/>
      <c r="E75" s="526"/>
      <c r="F75" s="526"/>
      <c r="G75" s="526"/>
      <c r="H75" s="526"/>
      <c r="I75" s="526"/>
      <c r="J75" s="526"/>
      <c r="K75" s="456"/>
      <c r="L75" s="526"/>
      <c r="M75" s="526"/>
      <c r="N75" s="456"/>
      <c r="O75" s="526"/>
      <c r="P75" s="526"/>
      <c r="Q75" s="526"/>
      <c r="R75" s="526"/>
      <c r="S75" s="526"/>
      <c r="T75" s="526"/>
      <c r="U75" s="526"/>
      <c r="V75" s="526"/>
      <c r="W75" s="526"/>
      <c r="X75" s="526"/>
      <c r="Y75" s="526"/>
      <c r="Z75" s="526"/>
    </row>
    <row r="76" spans="1:26" ht="13.5" customHeight="1">
      <c r="A76" s="528" t="s">
        <v>248</v>
      </c>
      <c r="B76" s="538"/>
      <c r="C76" s="538"/>
      <c r="D76" s="526"/>
      <c r="E76" s="526"/>
      <c r="F76" s="526"/>
      <c r="G76" s="526"/>
      <c r="H76" s="526"/>
      <c r="I76" s="526"/>
      <c r="J76" s="526"/>
      <c r="K76" s="534"/>
      <c r="L76" s="535"/>
      <c r="M76" s="535"/>
      <c r="N76" s="534"/>
      <c r="O76" s="535"/>
      <c r="P76" s="535"/>
      <c r="Q76" s="526"/>
      <c r="R76" s="526"/>
      <c r="S76" s="526"/>
      <c r="T76" s="526"/>
      <c r="U76" s="526"/>
      <c r="V76" s="526"/>
      <c r="W76" s="526"/>
      <c r="X76" s="526"/>
      <c r="Y76" s="526"/>
      <c r="Z76" s="526"/>
    </row>
    <row r="77" spans="1:26" ht="13.5" customHeight="1">
      <c r="A77" s="528" t="s">
        <v>249</v>
      </c>
      <c r="B77" s="536"/>
      <c r="C77" s="536"/>
      <c r="D77" s="526"/>
      <c r="E77" s="526"/>
      <c r="F77" s="526"/>
      <c r="G77" s="526"/>
      <c r="H77" s="526"/>
      <c r="I77" s="526"/>
      <c r="J77" s="526"/>
      <c r="K77" s="456"/>
      <c r="L77" s="526"/>
      <c r="M77" s="526"/>
      <c r="N77" s="456"/>
      <c r="O77" s="526"/>
      <c r="P77" s="526"/>
      <c r="Q77" s="526"/>
      <c r="R77" s="526"/>
      <c r="S77" s="526"/>
      <c r="T77" s="526"/>
      <c r="U77" s="526"/>
      <c r="V77" s="526"/>
      <c r="W77" s="526"/>
      <c r="X77" s="526"/>
      <c r="Y77" s="526"/>
      <c r="Z77" s="526"/>
    </row>
    <row r="78" spans="1:26" ht="13.5" customHeight="1">
      <c r="A78" s="528" t="s">
        <v>250</v>
      </c>
      <c r="B78" s="536"/>
      <c r="C78" s="536"/>
      <c r="D78" s="526"/>
      <c r="E78" s="526"/>
      <c r="F78" s="526"/>
      <c r="G78" s="526"/>
      <c r="H78" s="526"/>
      <c r="I78" s="526"/>
      <c r="J78" s="526"/>
      <c r="K78" s="456"/>
      <c r="L78" s="526"/>
      <c r="M78" s="526"/>
      <c r="N78" s="456"/>
      <c r="O78" s="526"/>
      <c r="P78" s="526"/>
      <c r="Q78" s="526"/>
      <c r="R78" s="526"/>
      <c r="S78" s="526"/>
      <c r="T78" s="526"/>
      <c r="U78" s="526"/>
      <c r="V78" s="526"/>
      <c r="W78" s="526"/>
      <c r="X78" s="526"/>
      <c r="Y78" s="526"/>
      <c r="Z78" s="526"/>
    </row>
    <row r="79" spans="1:26" ht="13.5" customHeight="1">
      <c r="A79" s="528" t="s">
        <v>251</v>
      </c>
      <c r="B79" s="538"/>
      <c r="C79" s="538"/>
      <c r="D79" s="526"/>
      <c r="E79" s="526"/>
      <c r="F79" s="526"/>
      <c r="G79" s="526"/>
      <c r="H79" s="526"/>
      <c r="I79" s="526"/>
      <c r="J79" s="526"/>
      <c r="K79" s="534"/>
      <c r="L79" s="535"/>
      <c r="M79" s="535"/>
      <c r="N79" s="534"/>
      <c r="O79" s="535"/>
      <c r="P79" s="535"/>
      <c r="Q79" s="526"/>
      <c r="R79" s="526"/>
      <c r="S79" s="526"/>
      <c r="T79" s="526"/>
      <c r="U79" s="526"/>
      <c r="V79" s="526"/>
      <c r="W79" s="526"/>
      <c r="X79" s="526"/>
      <c r="Y79" s="526"/>
      <c r="Z79" s="526"/>
    </row>
    <row r="80" spans="1:26" ht="13.5" customHeight="1">
      <c r="A80" s="528" t="s">
        <v>252</v>
      </c>
      <c r="B80" s="538"/>
      <c r="C80" s="538"/>
      <c r="D80" s="526"/>
      <c r="E80" s="526"/>
      <c r="F80" s="526"/>
      <c r="G80" s="526"/>
      <c r="H80" s="526"/>
      <c r="I80" s="526"/>
      <c r="J80" s="526"/>
      <c r="K80" s="534"/>
      <c r="L80" s="535"/>
      <c r="M80" s="535"/>
      <c r="N80" s="534"/>
      <c r="O80" s="535"/>
      <c r="P80" s="535"/>
      <c r="Q80" s="526"/>
      <c r="R80" s="526"/>
      <c r="S80" s="526"/>
      <c r="T80" s="526"/>
      <c r="U80" s="526"/>
      <c r="V80" s="526"/>
      <c r="W80" s="526"/>
      <c r="X80" s="526"/>
      <c r="Y80" s="526"/>
      <c r="Z80" s="526"/>
    </row>
    <row r="81" spans="1:26" ht="13.5" customHeight="1">
      <c r="A81" s="199" t="s">
        <v>253</v>
      </c>
      <c r="B81" s="538"/>
      <c r="C81" s="538"/>
      <c r="D81" s="526"/>
      <c r="E81" s="526"/>
      <c r="F81" s="526"/>
      <c r="G81" s="526"/>
      <c r="H81" s="526"/>
      <c r="I81" s="526"/>
      <c r="J81" s="526"/>
      <c r="K81" s="534"/>
      <c r="L81" s="535"/>
      <c r="M81" s="535"/>
      <c r="N81" s="534"/>
      <c r="O81" s="535"/>
      <c r="P81" s="535"/>
      <c r="Q81" s="526"/>
      <c r="R81" s="526"/>
      <c r="S81" s="526"/>
      <c r="T81" s="526"/>
      <c r="U81" s="526"/>
      <c r="V81" s="526"/>
      <c r="W81" s="526"/>
      <c r="X81" s="526"/>
      <c r="Y81" s="526"/>
      <c r="Z81" s="526"/>
    </row>
    <row r="82" spans="1:26" ht="13.5" customHeight="1">
      <c r="A82" s="528" t="s">
        <v>254</v>
      </c>
      <c r="B82" s="538"/>
      <c r="C82" s="538"/>
      <c r="D82" s="526"/>
      <c r="E82" s="526"/>
      <c r="F82" s="526"/>
      <c r="G82" s="526"/>
      <c r="H82" s="526"/>
      <c r="I82" s="526"/>
      <c r="J82" s="526"/>
      <c r="K82" s="534"/>
      <c r="L82" s="535"/>
      <c r="M82" s="535"/>
      <c r="N82" s="534"/>
      <c r="O82" s="535"/>
      <c r="P82" s="535"/>
      <c r="Q82" s="526"/>
      <c r="R82" s="526"/>
      <c r="S82" s="526"/>
      <c r="T82" s="526"/>
      <c r="U82" s="526"/>
      <c r="V82" s="526"/>
      <c r="W82" s="526"/>
      <c r="X82" s="526"/>
      <c r="Y82" s="526"/>
      <c r="Z82" s="526"/>
    </row>
    <row r="83" spans="1:26" ht="13.5" customHeight="1">
      <c r="A83" s="528" t="s">
        <v>255</v>
      </c>
      <c r="B83" s="200"/>
      <c r="C83" s="200"/>
      <c r="D83" s="459"/>
      <c r="E83" s="459"/>
      <c r="F83" s="459"/>
      <c r="G83" s="459"/>
      <c r="H83" s="459"/>
      <c r="I83" s="459"/>
      <c r="J83" s="459"/>
      <c r="K83" s="456"/>
      <c r="L83" s="459"/>
      <c r="M83" s="459"/>
      <c r="N83" s="456"/>
      <c r="O83" s="459"/>
      <c r="P83" s="459"/>
      <c r="Q83" s="459"/>
      <c r="R83" s="459"/>
      <c r="S83" s="459"/>
      <c r="T83" s="459"/>
      <c r="U83" s="459"/>
      <c r="V83" s="459"/>
      <c r="W83" s="459"/>
      <c r="X83" s="459"/>
      <c r="Y83" s="459"/>
      <c r="Z83" s="459"/>
    </row>
    <row r="84" spans="1:26" ht="13.5" customHeight="1">
      <c r="A84" s="199" t="s">
        <v>256</v>
      </c>
      <c r="B84" s="200"/>
      <c r="C84" s="200"/>
      <c r="D84" s="459"/>
      <c r="E84" s="459"/>
      <c r="F84" s="459"/>
      <c r="G84" s="459"/>
      <c r="H84" s="459"/>
      <c r="I84" s="459"/>
      <c r="J84" s="459"/>
      <c r="K84" s="456"/>
      <c r="L84" s="459"/>
      <c r="M84" s="459"/>
      <c r="N84" s="456"/>
      <c r="O84" s="459"/>
      <c r="P84" s="459"/>
      <c r="Q84" s="459"/>
      <c r="R84" s="459"/>
      <c r="S84" s="459"/>
      <c r="T84" s="459"/>
      <c r="U84" s="459"/>
      <c r="V84" s="459"/>
      <c r="W84" s="459"/>
      <c r="X84" s="459"/>
      <c r="Y84" s="459"/>
      <c r="Z84" s="459"/>
    </row>
    <row r="85" spans="1:26" ht="13.5" customHeight="1">
      <c r="A85" s="528" t="s">
        <v>257</v>
      </c>
      <c r="B85" s="200"/>
      <c r="C85" s="200"/>
      <c r="D85" s="459"/>
      <c r="E85" s="459"/>
      <c r="F85" s="459"/>
      <c r="G85" s="459"/>
      <c r="H85" s="459"/>
      <c r="I85" s="459"/>
      <c r="J85" s="459"/>
      <c r="K85" s="456"/>
      <c r="L85" s="459"/>
      <c r="M85" s="459"/>
      <c r="N85" s="456"/>
      <c r="O85" s="459"/>
      <c r="P85" s="459"/>
      <c r="Q85" s="459"/>
      <c r="R85" s="459"/>
      <c r="S85" s="459"/>
      <c r="T85" s="459"/>
      <c r="U85" s="459"/>
      <c r="V85" s="459"/>
      <c r="W85" s="459"/>
      <c r="X85" s="459"/>
      <c r="Y85" s="459"/>
      <c r="Z85" s="459"/>
    </row>
    <row r="86" spans="1:26" s="445" customFormat="1" ht="13.5" customHeight="1">
      <c r="A86" s="539" t="s">
        <v>258</v>
      </c>
      <c r="B86" s="540"/>
      <c r="C86" s="541"/>
      <c r="D86" s="542"/>
      <c r="E86" s="542"/>
      <c r="F86" s="542"/>
      <c r="G86" s="542"/>
      <c r="H86" s="542"/>
      <c r="I86" s="542"/>
      <c r="J86" s="542"/>
      <c r="K86" s="543"/>
      <c r="L86" s="542"/>
      <c r="M86" s="542"/>
      <c r="N86" s="543"/>
      <c r="O86" s="542"/>
      <c r="P86" s="542"/>
      <c r="Q86" s="542"/>
      <c r="R86" s="542"/>
      <c r="S86" s="542"/>
      <c r="T86" s="542"/>
      <c r="U86" s="542"/>
      <c r="V86" s="542"/>
      <c r="W86" s="542"/>
      <c r="X86" s="542"/>
      <c r="Y86" s="542"/>
      <c r="Z86" s="542"/>
    </row>
    <row r="87" spans="1:26" s="445" customFormat="1">
      <c r="A87" s="539" t="s">
        <v>259</v>
      </c>
      <c r="D87" s="544"/>
      <c r="E87" s="544"/>
      <c r="F87" s="544"/>
      <c r="G87" s="544"/>
      <c r="H87" s="544"/>
      <c r="I87" s="544"/>
      <c r="J87" s="544"/>
      <c r="K87" s="544"/>
      <c r="L87" s="544"/>
      <c r="M87" s="544"/>
      <c r="N87" s="544"/>
      <c r="O87" s="544"/>
      <c r="P87" s="544"/>
      <c r="Q87" s="544"/>
      <c r="R87" s="544"/>
      <c r="S87" s="544"/>
      <c r="T87" s="544"/>
      <c r="U87" s="544"/>
      <c r="V87" s="544"/>
      <c r="W87" s="544"/>
      <c r="X87" s="544"/>
      <c r="Y87" s="544"/>
      <c r="Z87" s="544"/>
    </row>
    <row r="88" spans="1:26" s="445" customFormat="1">
      <c r="A88" s="730" t="s">
        <v>260</v>
      </c>
      <c r="B88" s="730"/>
      <c r="C88" s="730"/>
      <c r="D88" s="730"/>
      <c r="E88" s="730"/>
      <c r="F88" s="730"/>
      <c r="G88" s="730"/>
      <c r="H88" s="730"/>
      <c r="I88" s="730"/>
      <c r="J88" s="730"/>
      <c r="K88" s="730"/>
      <c r="L88" s="730"/>
      <c r="M88" s="730"/>
      <c r="N88" s="730"/>
      <c r="O88" s="730"/>
      <c r="P88" s="730"/>
      <c r="Q88" s="730"/>
      <c r="R88" s="730"/>
      <c r="S88" s="730"/>
      <c r="T88" s="730"/>
      <c r="U88" s="730"/>
      <c r="V88" s="730"/>
      <c r="W88" s="730"/>
      <c r="X88" s="544"/>
      <c r="Y88" s="544"/>
      <c r="Z88" s="544"/>
    </row>
    <row r="89" spans="1:26" s="445" customFormat="1">
      <c r="A89" s="545" t="s">
        <v>261</v>
      </c>
      <c r="D89" s="544"/>
      <c r="E89" s="544"/>
      <c r="F89" s="544"/>
      <c r="G89" s="544"/>
      <c r="H89" s="544"/>
      <c r="I89" s="544"/>
      <c r="J89" s="544"/>
      <c r="K89" s="544"/>
      <c r="L89" s="544"/>
      <c r="M89" s="544"/>
      <c r="N89" s="544"/>
      <c r="O89" s="544"/>
      <c r="P89" s="544"/>
      <c r="Q89" s="544"/>
      <c r="R89" s="544"/>
      <c r="S89" s="544"/>
      <c r="T89" s="544"/>
      <c r="U89" s="544"/>
      <c r="V89" s="544"/>
      <c r="W89" s="544"/>
      <c r="X89" s="544"/>
      <c r="Y89" s="544"/>
      <c r="Z89" s="544"/>
    </row>
    <row r="90" spans="1:26" s="546" customFormat="1">
      <c r="A90" s="545" t="s">
        <v>262</v>
      </c>
      <c r="D90" s="547"/>
      <c r="E90" s="547"/>
      <c r="F90" s="547"/>
      <c r="G90" s="547"/>
      <c r="H90" s="547"/>
      <c r="I90" s="547"/>
      <c r="J90" s="547"/>
      <c r="K90" s="547"/>
      <c r="L90" s="547"/>
      <c r="M90" s="547"/>
      <c r="N90" s="547"/>
      <c r="O90" s="547"/>
      <c r="P90" s="547"/>
      <c r="Q90" s="547"/>
      <c r="R90" s="547"/>
      <c r="S90" s="547"/>
      <c r="T90" s="547"/>
      <c r="U90" s="547"/>
      <c r="V90" s="547"/>
      <c r="W90" s="547"/>
      <c r="X90" s="547"/>
      <c r="Y90" s="547"/>
      <c r="Z90" s="547"/>
    </row>
  </sheetData>
  <mergeCells count="3">
    <mergeCell ref="A4:B7"/>
    <mergeCell ref="A14:B17"/>
    <mergeCell ref="A88:W88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13</vt:i4>
      </vt:variant>
    </vt:vector>
  </HeadingPairs>
  <TitlesOfParts>
    <vt:vector size="13" baseType="lpstr">
      <vt:lpstr>Portal Siga Brasil</vt:lpstr>
      <vt:lpstr>RGPS_Resumo</vt:lpstr>
      <vt:lpstr>Beps 2014</vt:lpstr>
      <vt:lpstr>Beps 2015</vt:lpstr>
      <vt:lpstr>RGPS_Valor_Dezembro</vt:lpstr>
      <vt:lpstr>RGPS_Valor_Dezembro_Cálculo</vt:lpstr>
      <vt:lpstr>RGPS_Valor Acumulado</vt:lpstr>
      <vt:lpstr>RGPS_Quantidade_Dezembro</vt:lpstr>
      <vt:lpstr>RGPS_Quantidade_Dezembro_Cálc</vt:lpstr>
      <vt:lpstr>RPPS_Resumo</vt:lpstr>
      <vt:lpstr>RPPS_Despesa Anual</vt:lpstr>
      <vt:lpstr>RPPS_Faixa de Remuneração</vt:lpstr>
      <vt:lpstr>RPPS_Quantidade Servidores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Otávio José Guerci Sidone</dc:creator>
  <cp:lastModifiedBy>Karla de Lima Rocha</cp:lastModifiedBy>
  <dcterms:created xsi:type="dcterms:W3CDTF">2015-11-09T12:57:33Z</dcterms:created>
  <dcterms:modified xsi:type="dcterms:W3CDTF">2024-07-02T17:22:25Z</dcterms:modified>
</cp:coreProperties>
</file>